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https://isocomcouk-my.sharepoint.com/personal/alisha_jones_isocom_co_uk/Documents/Desktop/"/>
    </mc:Choice>
  </mc:AlternateContent>
  <xr:revisionPtr revIDLastSave="0" documentId="14_{3E081435-4186-482C-B18F-E57869490AB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R87" i="5"/>
  <c r="R84" i="5"/>
  <c r="R83" i="5"/>
  <c r="R81" i="5"/>
  <c r="R80" i="5"/>
  <c r="R79" i="5"/>
  <c r="R77" i="5"/>
  <c r="R75" i="5"/>
  <c r="X73" i="5"/>
  <c r="R71" i="5"/>
  <c r="R68" i="5"/>
  <c r="R67" i="5"/>
  <c r="R65" i="5"/>
  <c r="R64" i="5"/>
  <c r="R63"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X23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30"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X2388" i="5"/>
  <c r="AB24"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9"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5" i="5"/>
  <c r="R96" i="5"/>
  <c r="X96" i="5"/>
  <c r="X78" i="5"/>
  <c r="X47" i="5"/>
  <c r="H126" i="5"/>
  <c r="R126" i="5"/>
  <c r="J126" i="5"/>
  <c r="I126" i="5"/>
  <c r="X126" i="5"/>
  <c r="AB894" i="5"/>
  <c r="S894" i="5"/>
  <c r="AB1862" i="5"/>
  <c r="S1862" i="5"/>
  <c r="R54" i="5"/>
  <c r="R73" i="5"/>
  <c r="H122" i="5"/>
  <c r="J122" i="5"/>
  <c r="I122" i="5"/>
  <c r="R188" i="5"/>
  <c r="AB209" i="5"/>
  <c r="R224" i="5"/>
  <c r="F224" i="5"/>
  <c r="X224" i="5"/>
  <c r="F308" i="5"/>
  <c r="F356" i="5"/>
  <c r="R462" i="5"/>
  <c r="F585" i="5"/>
  <c r="I713" i="5"/>
  <c r="J713" i="5"/>
  <c r="S737" i="5"/>
  <c r="R93" i="5"/>
  <c r="H93" i="5"/>
  <c r="AB169" i="5"/>
  <c r="X451" i="5"/>
  <c r="H451" i="5"/>
  <c r="F451" i="5"/>
  <c r="S1496" i="5"/>
  <c r="X26" i="5"/>
  <c r="X62" i="5"/>
  <c r="I125" i="5"/>
  <c r="H125" i="5"/>
  <c r="H146" i="5"/>
  <c r="I146" i="5"/>
  <c r="F146" i="5"/>
  <c r="R236" i="5"/>
  <c r="F236" i="5"/>
  <c r="X236" i="5"/>
  <c r="J261" i="5"/>
  <c r="AB261" i="5"/>
  <c r="AB297" i="5"/>
  <c r="F450" i="5"/>
  <c r="R452" i="5"/>
  <c r="J452" i="5"/>
  <c r="H452" i="5"/>
  <c r="F452" i="5"/>
  <c r="H106" i="5"/>
  <c r="I106" i="5"/>
  <c r="X106" i="5"/>
  <c r="R124" i="5"/>
  <c r="AB1446" i="5"/>
  <c r="S1446" i="5"/>
  <c r="R22" i="5"/>
  <c r="R89" i="5"/>
  <c r="AB113" i="5"/>
  <c r="R122" i="5"/>
  <c r="H166" i="5"/>
  <c r="R166" i="5"/>
  <c r="H186" i="5"/>
  <c r="X186" i="5"/>
  <c r="R186" i="5"/>
  <c r="I186" i="5"/>
  <c r="I274" i="5"/>
  <c r="F274" i="5"/>
  <c r="I360" i="5"/>
  <c r="J360" i="5"/>
  <c r="H360" i="5"/>
  <c r="F360" i="5"/>
  <c r="I478" i="5"/>
  <c r="H478" i="5"/>
  <c r="X478" i="5"/>
  <c r="F573" i="5"/>
  <c r="S640" i="5"/>
  <c r="R59"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30"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1" i="5"/>
  <c r="X61" i="5"/>
  <c r="R72" i="5"/>
  <c r="X72" i="5"/>
  <c r="F108" i="5"/>
  <c r="R108" i="5"/>
  <c r="R132" i="5"/>
  <c r="F132" i="5"/>
  <c r="F168" i="5"/>
  <c r="R168" i="5"/>
  <c r="X168" i="5"/>
  <c r="H194" i="5"/>
  <c r="F194" i="5"/>
  <c r="X194" i="5"/>
  <c r="R194" i="5"/>
  <c r="I194" i="5"/>
  <c r="J194" i="5"/>
  <c r="R66" i="5"/>
  <c r="X66" i="5"/>
  <c r="R19" i="5"/>
  <c r="X19" i="5"/>
  <c r="X35" i="5"/>
  <c r="R35" i="5"/>
  <c r="H138" i="5"/>
  <c r="R138" i="5"/>
  <c r="J138" i="5"/>
  <c r="I138" i="5"/>
  <c r="X138" i="5"/>
  <c r="F138" i="5"/>
  <c r="X192" i="5"/>
  <c r="F192" i="5"/>
  <c r="H226" i="5"/>
  <c r="X226" i="5"/>
  <c r="R226" i="5"/>
  <c r="F226" i="5"/>
  <c r="J226" i="5"/>
  <c r="I226" i="5"/>
  <c r="R41" i="5"/>
  <c r="X41"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X92" i="5"/>
  <c r="H98" i="5"/>
  <c r="R98" i="5"/>
  <c r="J98" i="5"/>
  <c r="X98" i="5"/>
  <c r="I98" i="5"/>
  <c r="F98" i="5"/>
  <c r="H134" i="5"/>
  <c r="F134" i="5"/>
  <c r="R134" i="5"/>
  <c r="J134" i="5"/>
  <c r="I134" i="5"/>
  <c r="X134" i="5"/>
  <c r="H158" i="5"/>
  <c r="X158" i="5"/>
  <c r="R158" i="5"/>
  <c r="J158" i="5"/>
  <c r="I158" i="5"/>
  <c r="F158" i="5"/>
  <c r="I372" i="5"/>
  <c r="R372" i="5"/>
  <c r="J372" i="5"/>
  <c r="H372" i="5"/>
  <c r="F372" i="5"/>
  <c r="X27" i="5"/>
  <c r="R27" i="5"/>
  <c r="R82" i="5"/>
  <c r="X82" i="5"/>
  <c r="R51" i="5"/>
  <c r="X51" i="5"/>
  <c r="R76" i="5"/>
  <c r="X76" i="5"/>
  <c r="R88" i="5"/>
  <c r="X88" i="5"/>
  <c r="X128" i="5"/>
  <c r="F128" i="5"/>
  <c r="H198" i="5"/>
  <c r="R198" i="5"/>
  <c r="J198" i="5"/>
  <c r="I198" i="5"/>
  <c r="F198" i="5"/>
  <c r="X198" i="5"/>
  <c r="H130" i="5"/>
  <c r="F130" i="5"/>
  <c r="X130" i="5"/>
  <c r="I130" i="5"/>
  <c r="R130" i="5"/>
  <c r="J130" i="5"/>
  <c r="R57" i="5"/>
  <c r="X57"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X31" i="5"/>
  <c r="F112" i="5"/>
  <c r="X112" i="5"/>
  <c r="R112" i="5"/>
  <c r="H154" i="5"/>
  <c r="R154" i="5"/>
  <c r="J154" i="5"/>
  <c r="I154" i="5"/>
  <c r="X154" i="5"/>
  <c r="F154" i="5"/>
  <c r="H202" i="5"/>
  <c r="R202" i="5"/>
  <c r="J202" i="5"/>
  <c r="I202" i="5"/>
  <c r="X202" i="5"/>
  <c r="F202" i="5"/>
  <c r="R248" i="5"/>
  <c r="F248" i="5"/>
  <c r="R39" i="5"/>
  <c r="R55"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2" i="5"/>
  <c r="X45" i="5"/>
  <c r="X55"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8" i="5"/>
  <c r="X23" i="5"/>
  <c r="AB26" i="5"/>
  <c r="X39" i="5"/>
  <c r="AB22" i="5"/>
  <c r="R25" i="5"/>
  <c r="R47" i="5"/>
  <c r="R62" i="5"/>
  <c r="R78"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3" i="5"/>
  <c r="X49" i="5"/>
  <c r="X64" i="5"/>
  <c r="X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2" i="5"/>
  <c r="X53"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8"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20" i="5"/>
  <c r="R21" i="5"/>
  <c r="AB28" i="5"/>
  <c r="R29" i="5"/>
  <c r="AB34" i="5"/>
  <c r="AB38" i="5"/>
  <c r="AB42" i="5"/>
  <c r="AB46" i="5"/>
  <c r="AB50" i="5"/>
  <c r="AB54" i="5"/>
  <c r="AB58" i="5"/>
  <c r="AB65" i="5"/>
  <c r="AB69" i="5"/>
  <c r="AB73" i="5"/>
  <c r="AB77" i="5"/>
  <c r="AB81" i="5"/>
  <c r="AB85" i="5"/>
  <c r="AB89"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1" i="5"/>
  <c r="AB29" i="5"/>
  <c r="AB35" i="5"/>
  <c r="AB39" i="5"/>
  <c r="AB43" i="5"/>
  <c r="AB47" i="5"/>
  <c r="AB51" i="5"/>
  <c r="AB55" i="5"/>
  <c r="AB59"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19" i="5"/>
  <c r="AB27" i="5"/>
  <c r="X29" i="5"/>
  <c r="X24" i="5"/>
  <c r="R28" i="5"/>
  <c r="X32" i="5"/>
  <c r="AB36" i="5"/>
  <c r="AB40" i="5"/>
  <c r="AB44" i="5"/>
  <c r="AB48" i="5"/>
  <c r="AB52" i="5"/>
  <c r="AB56" i="5"/>
  <c r="AB60"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1" i="5"/>
  <c r="AB25" i="5"/>
  <c r="AB37" i="5"/>
  <c r="AB45" i="5"/>
  <c r="AB53" i="5"/>
  <c r="AB57" i="5"/>
  <c r="AB61" i="5"/>
  <c r="AB64" i="5"/>
  <c r="AB68" i="5"/>
  <c r="AB72" i="5"/>
  <c r="AB80" i="5"/>
  <c r="AB88"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AB33" i="5"/>
  <c r="AB41" i="5"/>
  <c r="AB49" i="5"/>
  <c r="AB76" i="5"/>
  <c r="AB84" i="5"/>
  <c r="AB92" i="5"/>
  <c r="AB96" i="5"/>
  <c r="H117" i="5"/>
  <c r="F121" i="5"/>
  <c r="R121" i="5"/>
  <c r="J121" i="5"/>
  <c r="J124" i="5"/>
  <c r="I124" i="5"/>
  <c r="H124" i="5"/>
  <c r="R18" i="5"/>
  <c r="R23" i="5"/>
  <c r="R26" i="5"/>
  <c r="X30" i="5"/>
  <c r="R31" i="5"/>
  <c r="X36" i="5"/>
  <c r="X40" i="5"/>
  <c r="X52" i="5"/>
  <c r="X56" i="5"/>
  <c r="X60"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166" i="5"/>
  <c r="S246" i="5"/>
  <c r="S343" i="5"/>
  <c r="S396" i="5"/>
  <c r="S400" i="5"/>
  <c r="S408" i="5"/>
  <c r="S371" i="5"/>
  <c r="S436" i="5"/>
  <c r="S427" i="5"/>
  <c r="S451" i="5"/>
  <c r="S547" i="5"/>
  <c r="S376" i="5"/>
  <c r="S348" i="5"/>
  <c r="S538" i="5"/>
  <c r="S168" i="5"/>
  <c r="S122" i="5"/>
  <c r="S176" i="5"/>
  <c r="S360" i="5"/>
  <c r="S96" i="5"/>
  <c r="S218" i="5"/>
  <c r="S294" i="5"/>
  <c r="S416" i="5"/>
  <c r="S431" i="5"/>
  <c r="S559" i="5"/>
  <c r="S509" i="5"/>
  <c r="S105" i="5"/>
  <c r="S340" i="5"/>
  <c r="S94" i="5"/>
  <c r="S160" i="5"/>
  <c r="S17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154" i="5"/>
  <c r="S156" i="5"/>
  <c r="S363" i="5"/>
  <c r="S303" i="5"/>
  <c r="S391" i="5"/>
  <c r="S347" i="5"/>
  <c r="S432" i="5"/>
  <c r="S443" i="5"/>
  <c r="S583" i="5"/>
  <c r="S98" i="5"/>
  <c r="S234" i="5"/>
  <c r="S270" i="5"/>
  <c r="S290" i="5"/>
  <c r="S395" i="5"/>
  <c r="S399" i="5"/>
  <c r="S404" i="5"/>
  <c r="S412" i="5"/>
  <c r="S452" i="5"/>
  <c r="S419" i="5"/>
  <c r="S447" i="5"/>
  <c r="S209"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4" i="5"/>
  <c r="S342" i="5"/>
  <c r="X157" i="5"/>
  <c r="X330" i="5"/>
  <c r="X245" i="5"/>
  <c r="X113" i="5"/>
  <c r="X332" i="5"/>
  <c r="X81" i="5"/>
  <c r="X450" i="5"/>
  <c r="X77" i="5"/>
  <c r="X334" i="5"/>
  <c r="X281" i="5"/>
  <c r="X205" i="5"/>
  <c r="X161" i="5"/>
  <c r="X324" i="5"/>
  <c r="X38" i="5"/>
  <c r="X137" i="5"/>
  <c r="X141" i="5"/>
  <c r="X125" i="5"/>
  <c r="X216" i="5"/>
  <c r="X277" i="5"/>
  <c r="X181" i="5"/>
  <c r="X217" i="5"/>
  <c r="X85" i="5"/>
  <c r="X201" i="5"/>
  <c r="X368" i="5"/>
  <c r="X46" i="5"/>
  <c r="X314" i="5"/>
  <c r="S314" i="5"/>
  <c r="X95" i="5"/>
  <c r="X48" i="5"/>
  <c r="X22" i="5"/>
  <c r="X326" i="5"/>
  <c r="X117" i="5"/>
  <c r="X310" i="5"/>
  <c r="X252" i="5"/>
  <c r="X54" i="5"/>
  <c r="X50" i="5"/>
  <c r="X316" i="5"/>
  <c r="X65" i="5"/>
  <c r="X372" i="5"/>
  <c r="X356" i="5"/>
  <c r="S356" i="5"/>
  <c r="X89" i="5"/>
  <c r="X129" i="5"/>
  <c r="X382" i="5"/>
  <c r="S382" i="5"/>
  <c r="X312" i="5"/>
  <c r="X91" i="5"/>
  <c r="X75" i="5"/>
  <c r="X44"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R86" i="5"/>
  <c r="J1841" i="5"/>
  <c r="H1695" i="5"/>
  <c r="X1316" i="5"/>
  <c r="J1085" i="5"/>
  <c r="I523" i="5"/>
  <c r="R438" i="5"/>
  <c r="I292"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R43" i="5"/>
  <c r="R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269" i="5"/>
  <c r="S132" i="5"/>
  <c r="S237" i="5"/>
  <c r="S108" i="5"/>
  <c r="S244"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581" i="5"/>
  <c r="S499" i="5"/>
  <c r="S346" i="5"/>
  <c r="S511" i="5"/>
  <c r="S220" i="5"/>
  <c r="S502" i="5"/>
  <c r="S477" i="5"/>
  <c r="S325" i="5"/>
  <c r="S513" i="5"/>
  <c r="S557" i="5"/>
  <c r="S229" i="5"/>
  <c r="S386" i="5"/>
  <c r="S558" i="5"/>
  <c r="S486" i="5"/>
  <c r="S550" i="5"/>
  <c r="S293" i="5"/>
  <c r="S169" i="5"/>
  <c r="S137" i="5"/>
  <c r="S201" i="5"/>
  <c r="S518" i="5"/>
  <c r="S208" i="5"/>
  <c r="S252" i="5"/>
  <c r="S257" i="5"/>
  <c r="S138" i="5"/>
  <c r="S318" i="5"/>
  <c r="S248" i="5"/>
  <c r="S546" i="5"/>
  <c r="S272" i="5"/>
  <c r="S543" i="5"/>
  <c r="S525" i="5"/>
  <c r="S317" i="5"/>
  <c r="S232" i="5"/>
  <c r="S240" i="5"/>
  <c r="S172" i="5"/>
  <c r="S173" i="5"/>
  <c r="S378" i="5"/>
  <c r="S330" i="5"/>
  <c r="S281" i="5"/>
  <c r="S273" i="5"/>
  <c r="S216" i="5"/>
  <c r="S217" i="5"/>
  <c r="S106" i="5"/>
  <c r="S284" i="5"/>
  <c r="S99" i="5"/>
  <c r="S265" i="5"/>
  <c r="S539" i="5"/>
  <c r="S519" i="5"/>
  <c r="S185" i="5"/>
  <c r="S549" i="5"/>
  <c r="S164" i="5"/>
  <c r="S337" i="5"/>
  <c r="S535" i="5"/>
  <c r="S309" i="5"/>
  <c r="S497" i="5"/>
  <c r="S121" i="5"/>
  <c r="S483" i="5"/>
  <c r="S470" i="5"/>
  <c r="S297" i="5"/>
  <c r="S141" i="5"/>
  <c r="S514" i="5"/>
  <c r="S288" i="5"/>
  <c r="S180" i="5"/>
  <c r="S312" i="5"/>
  <c r="S241" i="5"/>
  <c r="S306" i="5"/>
  <c r="S336" i="5"/>
  <c r="S100" i="5"/>
  <c r="S554" i="5"/>
  <c r="S569" i="5"/>
  <c r="S153" i="5"/>
  <c r="S300" i="5"/>
  <c r="S245" i="5"/>
  <c r="S253" i="5"/>
  <c r="S205"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<sst xmlns="http://schemas.openxmlformats.org/spreadsheetml/2006/main" count="23047" uniqueCount="15827">
  <si>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</si>
  <si>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</si>
  <si>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</si>
  <si>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</si>
  <si>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</si>
  <si>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</si>
  <si>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</si>
  <si>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</si>
  <si>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</si>
  <si>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</si>
  <si>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</si>
  <si>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</si>
  <si>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</si>
  <si>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</si>
  <si>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</si>
  <si>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</si>
  <si>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</si>
  <si>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</si>
  <si>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</si>
  <si>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</si>
  <si>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</si>
  <si>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</si>
  <si>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</si>
  <si>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</si>
  <si>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</si>
  <si>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</si>
  <si>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</si>
  <si>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</si>
  <si>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</si>
  <si>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</si>
  <si>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</si>
  <si>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</si>
  <si>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</si>
  <si>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</si>
  <si>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</si>
  <si>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</si>
  <si>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</si>
  <si>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</si>
  <si>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</si>
  <si>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</si>
  <si>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</si>
  <si>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</si>
  <si>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</si>
  <si>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</si>
  <si>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</si>
  <si>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</si>
  <si>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</si>
  <si>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</si>
  <si>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</si>
  <si>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</si>
  <si>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</si>
  <si>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</si>
  <si>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</si>
  <si>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</si>
  <si>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</si>
  <si>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</si>
  <si>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</si>
  <si>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</si>
  <si>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</si>
  <si>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</si>
  <si>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</si>
  <si>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</si>
  <si>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</si>
  <si>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</si>
  <si>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</si>
  <si>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</si>
  <si>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</si>
  <si>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</si>
  <si>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</si>
  <si>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</si>
  <si>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</si>
  <si>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</si>
  <si>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</si>
  <si>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</si>
  <si>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</si>
  <si>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</si>
  <si>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</si>
  <si>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</si>
  <si>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</si>
  <si>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</si>
  <si>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</si>
  <si>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</si>
  <si>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</si>
  <si>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</si>
  <si>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</si>
  <si>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</si>
  <si>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</si>
  <si>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</si>
  <si>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</si>
  <si>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</si>
  <si>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</si>
  <si>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</si>
  <si>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</si>
  <si>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</si>
  <si>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</si>
  <si>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</si>
  <si>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</si>
  <si>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</si>
  <si>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</si>
  <si>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</si>
  <si>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</si>
  <si>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</si>
  <si>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</si>
  <si>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</si>
  <si>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</si>
  <si>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</si>
  <si>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</si>
  <si>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</si>
  <si>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</si>
  <si>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</si>
  <si>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</si>
  <si>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</si>
  <si>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</si>
  <si>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</si>
  <si>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</si>
  <si>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</si>
  <si>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</si>
  <si>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</si>
  <si>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</si>
  <si>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</si>
  <si>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</si>
  <si>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</si>
  <si>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</si>
  <si>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</si>
  <si>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</si>
  <si>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</si>
  <si>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</si>
  <si>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</si>
  <si>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</si>
  <si>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</si>
  <si>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</si>
  <si>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</si>
  <si>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</si>
  <si>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</si>
  <si>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</si>
  <si>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</si>
  <si>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</si>
  <si>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</si>
  <si>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</si>
  <si>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</si>
  <si>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</si>
  <si>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</si>
  <si>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</si>
  <si>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</si>
  <si>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</si>
  <si>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</si>
  <si>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</si>
  <si>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</si>
  <si>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</si>
  <si>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</si>
  <si>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</si>
  <si>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</si>
  <si>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</si>
  <si>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</si>
  <si>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</si>
  <si>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</si>
  <si>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</si>
  <si>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</si>
  <si>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</si>
  <si>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</si>
  <si>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</si>
  <si>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</si>
  <si>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</si>
  <si>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</si>
  <si>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</si>
  <si>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</si>
  <si>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</si>
  <si>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</si>
  <si>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</si>
  <si>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</si>
  <si>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</si>
  <si>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</si>
  <si>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</si>
  <si>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</si>
  <si>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</si>
  <si>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</si>
  <si>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</si>
  <si>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</si>
  <si>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</si>
  <si>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</si>
  <si>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</si>
  <si>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</si>
  <si>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</si>
  <si>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</si>
  <si>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</si>
  <si>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</si>
  <si>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</si>
  <si>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</si>
  <si>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</si>
  <si>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</si>
  <si>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</si>
  <si>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</si>
  <si>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</si>
  <si>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</si>
  <si>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</si>
  <si>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</si>
  <si>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</si>
  <si>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</si>
  <si>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</si>
  <si>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</si>
  <si>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</si>
  <si>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</si>
  <si>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</si>
  <si>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</si>
  <si>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</si>
  <si>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</si>
  <si>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</si>
  <si>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</si>
  <si>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</si>
  <si>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</si>
  <si>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</si>
  <si>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</si>
  <si>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</si>
  <si>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</si>
  <si>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</si>
  <si>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</si>
  <si>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</si>
  <si>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</si>
  <si>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</si>
  <si>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</si>
  <si>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</si>
  <si>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</si>
  <si>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</si>
  <si>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</si>
  <si>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</si>
  <si>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</si>
  <si>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</si>
  <si>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</si>
  <si>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</si>
  <si>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</si>
  <si>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</si>
  <si>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</si>
  <si>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</si>
  <si>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</si>
  <si>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</si>
  <si>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</si>
  <si>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</si>
  <si>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</si>
  <si>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</si>
  <si>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</si>
  <si>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</si>
  <si>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</si>
  <si>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</si>
  <si>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</si>
  <si>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</si>
  <si>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</si>
  <si>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</si>
  <si>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</si>
  <si>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</si>
  <si>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</si>
  <si>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</si>
  <si>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</si>
  <si>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</si>
  <si>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</si>
  <si>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</si>
  <si>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</si>
  <si>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</si>
  <si>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</si>
  <si>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</si>
  <si>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</si>
  <si>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</si>
  <si>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</si>
  <si>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</si>
  <si>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</si>
  <si>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</si>
  <si>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</si>
  <si>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</si>
  <si>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</si>
  <si>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</si>
  <si>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</si>
  <si>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</si>
  <si>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</si>
  <si>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</si>
  <si>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</si>
  <si>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</si>
  <si>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</si>
  <si>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</si>
  <si>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</si>
  <si>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</si>
  <si>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</si>
  <si>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</si>
  <si>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</si>
  <si>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</si>
  <si>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</si>
  <si>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</si>
  <si>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</si>
  <si>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</si>
  <si>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</si>
  <si>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</si>
  <si>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</si>
  <si>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</si>
  <si>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</si>
  <si>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</si>
  <si>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</si>
  <si>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</si>
  <si>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</si>
  <si>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</si>
  <si>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</si>
  <si>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</si>
  <si>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</si>
  <si>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</si>
  <si>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</si>
  <si>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</si>
  <si>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</si>
  <si>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</si>
  <si>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</si>
  <si>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</si>
  <si>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</si>
  <si>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</si>
  <si>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</si>
  <si>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</si>
  <si>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</si>
  <si>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</si>
  <si>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</si>
  <si>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</si>
  <si>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</si>
  <si>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</si>
  <si>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</si>
  <si>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</si>
  <si>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</si>
  <si>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</si>
  <si>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</si>
  <si>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</si>
  <si>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</si>
  <si>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</si>
  <si>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</si>
  <si>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</si>
  <si>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</si>
  <si>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</si>
  <si>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</si>
  <si>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</si>
  <si>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</si>
  <si>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</si>
  <si>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</si>
  <si>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</si>
  <si>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</si>
  <si>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</si>
  <si>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</si>
  <si>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</si>
  <si>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</si>
  <si>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</si>
  <si>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</si>
  <si>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</si>
  <si>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</si>
  <si>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</si>
  <si>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</si>
  <si>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</si>
  <si>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</si>
  <si>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</si>
  <si>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</si>
  <si>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</si>
  <si>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</si>
  <si>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</si>
  <si>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</si>
  <si>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</si>
  <si>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</si>
  <si>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</si>
  <si>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</si>
  <si>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</si>
  <si>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</si>
  <si>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</si>
  <si>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</si>
  <si>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</si>
  <si>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</si>
  <si>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</si>
  <si>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</si>
  <si>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</si>
  <si>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</si>
  <si>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</si>
  <si>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</si>
  <si>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</si>
  <si>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</si>
  <si>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</si>
  <si>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</si>
  <si>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</si>
  <si>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</si>
  <si>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</si>
  <si>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</si>
  <si>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</si>
  <si>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</si>
  <si>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</si>
  <si>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</si>
  <si>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</si>
  <si>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</si>
  <si>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</si>
  <si>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</si>
  <si>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</si>
  <si>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</si>
  <si>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</si>
  <si>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</si>
  <si>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</si>
  <si>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</si>
  <si>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</si>
  <si>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</si>
  <si>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</si>
  <si>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</si>
  <si>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</si>
  <si>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</si>
  <si>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</si>
  <si>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</si>
  <si>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</si>
  <si>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</si>
  <si>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</si>
  <si>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</si>
  <si>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</si>
  <si>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</si>
  <si>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</si>
  <si>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</si>
  <si>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</si>
  <si>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</si>
  <si>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</si>
  <si>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</si>
  <si>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</si>
  <si>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</si>
  <si>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</si>
  <si>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</si>
  <si>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</si>
  <si>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</si>
  <si>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</si>
  <si>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</si>
  <si>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</si>
  <si>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</si>
  <si>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</si>
  <si>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</si>
  <si>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</si>
  <si>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</si>
  <si>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</si>
  <si>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</si>
  <si>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</si>
  <si>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</si>
  <si>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</si>
  <si>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</si>
  <si>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</si>
  <si>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</si>
  <si>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</si>
  <si>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</si>
  <si>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</si>
  <si>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</si>
  <si>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</si>
  <si>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</si>
  <si>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</si>
  <si>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</si>
  <si>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</si>
  <si>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</si>
  <si>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</si>
  <si>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</si>
  <si>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</si>
  <si>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</si>
  <si>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</si>
  <si>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</si>
  <si>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</si>
  <si>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</si>
  <si>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</si>
  <si>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</si>
  <si>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</si>
  <si>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</si>
  <si>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</si>
  <si>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</si>
  <si>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</si>
  <si>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</si>
  <si>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</si>
  <si>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</si>
  <si>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</si>
  <si>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</si>
  <si>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</si>
  <si>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</si>
  <si>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</si>
  <si>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</si>
  <si>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</si>
  <si>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</si>
  <si>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</si>
  <si>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</si>
  <si>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</si>
  <si>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</si>
  <si>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</si>
  <si>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</si>
  <si>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</si>
  <si>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</si>
  <si>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</si>
  <si>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</si>
  <si>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</si>
  <si>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</si>
  <si>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</si>
  <si>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</si>
  <si>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</si>
  <si>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</si>
  <si>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</si>
  <si>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</si>
  <si>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</si>
  <si>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</si>
  <si>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</si>
  <si>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</si>
  <si>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</si>
  <si>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</si>
  <si>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</si>
  <si>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</si>
  <si>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</si>
  <si>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</si>
  <si>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</si>
  <si>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</si>
  <si>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</si>
  <si>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</si>
  <si>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</si>
  <si>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</si>
  <si>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</si>
  <si>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</si>
  <si>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</si>
  <si>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</si>
  <si>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</si>
  <si>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</si>
  <si>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</si>
  <si>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</si>
  <si>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</si>
  <si>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</si>
  <si>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</si>
  <si>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</si>
  <si>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</si>
  <si>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</si>
  <si>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</si>
  <si>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</si>
  <si>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</si>
  <si>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</si>
  <si>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</si>
  <si>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</si>
  <si>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</si>
  <si>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</si>
  <si>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</si>
  <si>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</si>
  <si>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</si>
  <si>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</si>
  <si>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</si>
  <si>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</si>
  <si>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</si>
  <si>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</si>
  <si>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</si>
  <si>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</si>
  <si>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</si>
  <si>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</si>
  <si>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</si>
  <si>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</si>
  <si>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</si>
  <si>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</si>
  <si>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</si>
  <si>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</si>
  <si>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</si>
  <si>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</si>
  <si>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</si>
  <si>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</si>
  <si>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</si>
  <si>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</si>
  <si>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</si>
  <si>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</si>
  <si>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</si>
  <si>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</si>
  <si>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</si>
  <si>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</si>
  <si>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</si>
  <si>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</si>
  <si>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</si>
  <si>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</si>
  <si>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</si>
  <si>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</si>
  <si>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</si>
  <si>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</si>
  <si>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</si>
  <si>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</si>
  <si>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</si>
  <si>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</si>
  <si>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</si>
  <si>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</si>
  <si>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</si>
  <si>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</si>
  <si>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</si>
  <si>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</si>
  <si>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</si>
  <si>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</si>
  <si>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</si>
  <si>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</si>
  <si>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</si>
  <si>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</si>
  <si>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</si>
  <si>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</si>
  <si>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</si>
  <si>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</si>
  <si>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</si>
  <si>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</si>
  <si>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</si>
  <si>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</si>
  <si>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</si>
  <si>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</si>
  <si>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</si>
  <si>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</si>
  <si>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</si>
  <si>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</si>
  <si>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</si>
  <si>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</si>
  <si>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</si>
  <si>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</si>
  <si>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</si>
  <si>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</si>
  <si>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</si>
  <si>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</si>
  <si>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</si>
  <si>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</si>
  <si>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</si>
  <si>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</si>
  <si>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</si>
  <si>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</si>
  <si>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</si>
  <si>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</si>
  <si>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</si>
  <si>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</si>
  <si>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</si>
  <si>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</si>
  <si>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</si>
  <si>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</si>
  <si>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</si>
  <si>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</si>
  <si>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</si>
  <si>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</si>
  <si>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</si>
  <si>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</si>
  <si>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</si>
  <si>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</si>
  <si>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</si>
  <si>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</si>
  <si>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</si>
  <si>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</si>
  <si>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</si>
  <si>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</si>
  <si>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</si>
  <si>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</si>
  <si>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</si>
  <si>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</si>
  <si>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</si>
  <si>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</si>
  <si>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</si>
  <si>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</si>
  <si>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</si>
  <si>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</si>
  <si>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</si>
  <si>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</si>
  <si>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</si>
  <si>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</si>
  <si>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</si>
  <si>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</si>
  <si>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</si>
  <si>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</si>
  <si>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</si>
  <si>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</si>
  <si>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</si>
  <si>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</si>
  <si>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</si>
  <si>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</si>
  <si>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</si>
  <si>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</si>
  <si>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</si>
  <si>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</si>
  <si>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</si>
  <si>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</si>
  <si>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</si>
  <si>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</si>
  <si>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</si>
  <si>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</si>
  <si>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</si>
  <si>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</si>
  <si>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</si>
  <si>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</si>
  <si>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</si>
  <si>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</si>
  <si>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</si>
  <si>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</si>
  <si>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</si>
  <si>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</si>
  <si>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</si>
  <si>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</si>
  <si>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</si>
  <si>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</si>
  <si>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</si>
  <si>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</si>
  <si>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</si>
  <si>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</si>
  <si>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</si>
  <si>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</si>
  <si>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</si>
  <si>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</si>
  <si>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</si>
  <si>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</si>
  <si>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</si>
  <si>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</si>
  <si>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</si>
  <si>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</si>
  <si>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</si>
  <si>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</si>
  <si>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</si>
  <si>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</si>
  <si>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</si>
  <si>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</si>
  <si>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</si>
  <si>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</si>
  <si>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</si>
  <si>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</si>
  <si>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</si>
  <si>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</si>
  <si>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</si>
  <si>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</si>
  <si>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</si>
  <si>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</si>
  <si>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</si>
  <si>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</si>
  <si>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</si>
  <si>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</si>
  <si>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</si>
  <si>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</si>
  <si>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</si>
  <si>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</si>
  <si>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</si>
  <si>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</si>
  <si>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</si>
  <si>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</si>
  <si>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</si>
  <si>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</si>
  <si>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</si>
  <si>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</si>
  <si>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</si>
  <si>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</si>
  <si>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</si>
  <si>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</si>
  <si>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</si>
  <si>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</si>
  <si>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</si>
  <si>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</si>
  <si>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</si>
  <si>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</si>
  <si>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</si>
  <si>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</si>
  <si>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</si>
  <si>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</si>
  <si>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</si>
  <si>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</si>
  <si>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</si>
  <si>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</si>
  <si>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</si>
  <si>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</si>
  <si>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</si>
  <si>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</si>
  <si>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</si>
  <si>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</si>
  <si>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</si>
  <si>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</si>
  <si>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</si>
  <si>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</si>
  <si>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</si>
  <si>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</si>
  <si>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</si>
  <si>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</si>
  <si>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</si>
  <si>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</si>
  <si>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</si>
  <si>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</si>
  <si>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</si>
  <si>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</si>
  <si>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</si>
  <si>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</si>
  <si>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</si>
  <si>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</si>
  <si>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</si>
  <si>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</si>
  <si>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</si>
  <si>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</si>
  <si>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</si>
  <si>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</si>
  <si>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</si>
  <si>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</si>
  <si>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</si>
  <si>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</si>
  <si>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</si>
  <si>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</si>
  <si>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</si>
  <si>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</si>
  <si>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</si>
  <si>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</si>
  <si>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</si>
  <si>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</si>
  <si>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</si>
  <si>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</si>
  <si>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</si>
  <si>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</si>
  <si>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</si>
  <si>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</si>
  <si>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</si>
  <si>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</si>
  <si>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</si>
  <si>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</si>
  <si>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</si>
  <si>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</si>
  <si>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</si>
  <si>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</si>
  <si>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</si>
  <si>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</si>
  <si>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</si>
  <si>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</si>
  <si>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</si>
  <si>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</si>
  <si>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</si>
  <si>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</si>
  <si>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</si>
  <si>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</si>
  <si>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</si>
  <si>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</si>
  <si>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</si>
  <si>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</si>
  <si>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</si>
  <si>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</si>
  <si>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</si>
  <si>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</si>
  <si>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</si>
  <si>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</si>
  <si>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</si>
  <si>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</si>
  <si>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</si>
  <si>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</si>
  <si>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</si>
  <si>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</si>
  <si>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</si>
  <si>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</si>
  <si>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</si>
  <si>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</si>
  <si>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</si>
  <si>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</si>
  <si>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</si>
  <si>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</si>
  <si>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</si>
  <si>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</si>
  <si>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</si>
  <si>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</si>
  <si>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</si>
  <si>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</si>
  <si>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</si>
  <si>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</si>
  <si>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</si>
  <si>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</si>
  <si>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</si>
  <si>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</si>
  <si>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</si>
  <si>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</si>
  <si>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</si>
  <si>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</si>
  <si>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</si>
  <si>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</si>
  <si>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</si>
  <si>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</si>
  <si>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</si>
  <si>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</si>
  <si>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</si>
  <si>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</si>
  <si>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</si>
  <si>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</si>
  <si>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</si>
  <si>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</si>
  <si>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</si>
  <si>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</si>
  <si>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</si>
  <si>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</si>
  <si>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</si>
  <si>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</si>
  <si>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</si>
  <si>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</si>
  <si>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</si>
  <si>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</si>
  <si>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</si>
  <si>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</si>
  <si>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</si>
  <si>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</si>
  <si>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</si>
  <si>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</si>
  <si>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</si>
  <si>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</si>
  <si>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</si>
  <si>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</si>
  <si>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</si>
  <si>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</si>
  <si>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</si>
  <si>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</si>
  <si>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</si>
  <si>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</si>
  <si>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</si>
  <si>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</si>
  <si>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</si>
  <si>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</si>
  <si>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</si>
  <si>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</si>
  <si>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</si>
  <si>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</si>
  <si>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</si>
  <si>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</si>
  <si>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</si>
  <si>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</si>
  <si>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</si>
  <si>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</si>
  <si>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</si>
  <si>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</si>
  <si>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</si>
  <si>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</si>
  <si>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</si>
  <si>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</si>
  <si>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</si>
  <si>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</si>
  <si>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</si>
  <si>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</si>
  <si>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</si>
  <si>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</si>
  <si>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</si>
  <si>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</si>
  <si>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</si>
  <si>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</si>
  <si>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</si>
  <si>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</si>
  <si>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</si>
  <si>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</si>
  <si>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</si>
  <si>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</si>
  <si>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</si>
  <si>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</si>
  <si>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</si>
  <si>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</si>
  <si>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</si>
  <si>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</si>
  <si>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</si>
  <si>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</si>
  <si>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</si>
  <si>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</si>
  <si>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</si>
  <si>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</si>
  <si>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</si>
  <si>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</si>
  <si>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</si>
  <si>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</si>
  <si>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</si>
  <si>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</si>
  <si>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</si>
  <si>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</si>
  <si>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</si>
  <si>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</si>
  <si>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</si>
  <si>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</si>
  <si>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</si>
  <si>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</si>
  <si>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</si>
  <si>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</si>
  <si>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</si>
  <si>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</si>
  <si>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</si>
  <si>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</si>
  <si>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</si>
  <si>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</si>
  <si>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</si>
  <si>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</si>
  <si>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</si>
  <si>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</si>
  <si>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</si>
  <si>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</si>
  <si>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</si>
  <si>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</si>
  <si>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</si>
  <si>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</si>
  <si>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</si>
  <si>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</si>
  <si>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</si>
  <si>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</si>
  <si>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</si>
  <si>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</si>
  <si>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</si>
  <si>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</si>
  <si>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</si>
  <si>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</si>
  <si>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</si>
  <si>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</si>
  <si>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</si>
  <si>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</si>
  <si>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</si>
  <si>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</si>
  <si>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</si>
  <si>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</si>
  <si>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</si>
  <si>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</si>
  <si>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</si>
  <si>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</si>
  <si>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</si>
  <si>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</si>
  <si>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</si>
  <si>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</si>
  <si>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</si>
  <si>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</si>
  <si>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</si>
  <si>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</si>
  <si>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</si>
  <si>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</si>
  <si>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</si>
  <si>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</si>
  <si>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</si>
  <si>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</si>
  <si>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</si>
  <si>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</si>
  <si>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</si>
  <si>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</si>
  <si>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</si>
  <si>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</si>
  <si>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</si>
  <si>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</si>
  <si>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</si>
  <si>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</si>
  <si>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</si>
  <si>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</si>
  <si>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</si>
  <si>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</si>
  <si>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</si>
  <si>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</si>
  <si>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</si>
  <si>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</si>
  <si>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</si>
  <si>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</si>
  <si>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</si>
  <si>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</si>
  <si>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</si>
  <si>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</si>
  <si>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</si>
  <si>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</si>
  <si>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</si>
  <si>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</si>
  <si>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</si>
  <si>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</si>
  <si>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</si>
  <si>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</si>
  <si>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</si>
  <si>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</si>
  <si>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</si>
  <si>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</si>
  <si>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</si>
  <si>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</si>
  <si>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</si>
  <si>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</si>
  <si>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</si>
  <si>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</si>
  <si>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</si>
  <si>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</si>
  <si>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</si>
  <si>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</si>
  <si>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</si>
  <si>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</si>
  <si>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</si>
  <si>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</si>
  <si>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</si>
  <si>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</si>
  <si>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</si>
  <si>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</si>
  <si>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</si>
  <si>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</si>
  <si>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</si>
  <si>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</si>
  <si>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</si>
  <si>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</si>
  <si>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</si>
  <si>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</si>
  <si>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</si>
  <si>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</si>
  <si>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</si>
  <si>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</si>
  <si>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</si>
  <si>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</si>
  <si>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</si>
  <si>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</si>
  <si>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</si>
  <si>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</si>
  <si>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</si>
  <si>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</si>
  <si>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</si>
  <si>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</si>
  <si>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</si>
  <si>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</si>
  <si>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</si>
  <si>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</si>
  <si>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</si>
  <si>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</si>
  <si>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</si>
  <si>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</si>
  <si>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</si>
  <si>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</si>
  <si>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</si>
  <si>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</si>
  <si>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</si>
  <si>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</si>
  <si>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</si>
  <si>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</si>
  <si>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</si>
  <si>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</si>
  <si>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</si>
  <si>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</si>
  <si>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</si>
  <si>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</si>
  <si>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</si>
  <si>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</si>
  <si>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</si>
  <si>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</si>
  <si>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</si>
  <si>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</si>
  <si>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</si>
  <si>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</si>
  <si>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</si>
  <si>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</si>
  <si>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</si>
  <si>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</si>
  <si>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</si>
  <si>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</si>
  <si>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</si>
  <si>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</si>
  <si>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</si>
  <si>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</si>
  <si>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</si>
  <si>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</si>
  <si>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</si>
  <si>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</si>
  <si>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</si>
  <si>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</si>
  <si>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</si>
  <si>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</si>
  <si>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</si>
  <si>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</si>
  <si>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</si>
  <si>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</si>
  <si>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</si>
  <si>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</si>
  <si>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</si>
  <si>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</si>
  <si>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</si>
  <si>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</si>
  <si>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</si>
  <si>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</si>
  <si>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</si>
  <si>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</si>
  <si>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</si>
  <si>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</si>
  <si>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</si>
  <si>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</si>
  <si>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</si>
  <si>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</si>
  <si>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</si>
  <si>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</si>
  <si>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</si>
  <si>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</si>
  <si>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</si>
  <si>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</si>
  <si>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</si>
  <si>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</si>
  <si>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</si>
  <si>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</si>
  <si>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</si>
  <si>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</si>
  <si>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</si>
  <si>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</si>
  <si>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</si>
  <si>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</si>
  <si>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</si>
  <si>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</si>
  <si>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</si>
  <si>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</si>
  <si>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</si>
  <si>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</si>
  <si>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</si>
  <si>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</si>
  <si>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</si>
  <si>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</si>
  <si>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</si>
  <si>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</si>
  <si>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</si>
  <si>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</si>
  <si>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</si>
  <si>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</si>
  <si>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</si>
  <si>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</si>
  <si>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</si>
  <si>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</si>
  <si>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</si>
  <si>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</si>
  <si>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</si>
  <si>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</si>
  <si>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</si>
  <si>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</si>
  <si>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</si>
  <si>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</si>
  <si>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</si>
  <si>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</si>
  <si>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</si>
  <si>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</si>
  <si>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</si>
  <si>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</si>
  <si>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</si>
  <si>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</si>
  <si>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</si>
  <si>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</si>
  <si>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</si>
  <si>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</si>
  <si>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</si>
  <si>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</si>
  <si>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</si>
  <si>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</si>
  <si>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</si>
  <si>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</si>
  <si>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</si>
  <si>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</si>
  <si>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</si>
  <si>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</si>
  <si>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</si>
  <si>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</si>
  <si>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</si>
  <si>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</si>
  <si>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</si>
  <si>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</si>
  <si>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</si>
  <si>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</si>
  <si>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</si>
  <si>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</si>
  <si>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</si>
  <si>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</si>
  <si>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</si>
  <si>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</si>
  <si>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</si>
  <si>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</si>
  <si>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</si>
  <si>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</si>
  <si>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</si>
  <si>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</si>
  <si>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</si>
  <si>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</si>
  <si>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</si>
  <si>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</si>
  <si>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</si>
  <si>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</si>
  <si>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</si>
  <si>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</si>
  <si>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</si>
  <si>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</si>
  <si>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</si>
  <si>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</si>
  <si>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</si>
  <si>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</si>
  <si>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</si>
  <si>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</si>
  <si>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</si>
  <si>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</si>
  <si>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</si>
  <si>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</si>
  <si>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</si>
  <si>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</si>
  <si>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</si>
  <si>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</si>
  <si>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</si>
  <si>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</si>
  <si>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</si>
  <si>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</si>
  <si>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</si>
  <si>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</si>
  <si>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</si>
  <si>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</si>
  <si>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</si>
  <si>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</si>
  <si>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</si>
  <si>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</si>
  <si>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</si>
  <si>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</si>
  <si>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</si>
  <si>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</si>
  <si>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</si>
  <si>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</si>
  <si>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</si>
  <si>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</si>
  <si>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</si>
  <si>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</si>
  <si>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</si>
  <si>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</si>
  <si>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</si>
  <si>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</si>
  <si>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</si>
  <si>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</si>
  <si>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</si>
  <si>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</si>
  <si>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</si>
  <si>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</si>
  <si>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</si>
  <si>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</si>
  <si>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</si>
  <si>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</si>
  <si>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</si>
  <si>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</si>
  <si>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</si>
  <si>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</si>
  <si>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</si>
  <si>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</si>
  <si>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</si>
  <si>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</si>
  <si>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</si>
  <si>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</si>
  <si>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</si>
  <si>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</si>
  <si>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</si>
  <si>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</si>
  <si>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</si>
  <si>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</si>
  <si>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</si>
  <si>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</si>
  <si>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</si>
  <si>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</si>
  <si>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</si>
  <si>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</si>
  <si>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</si>
  <si>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</si>
  <si>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</si>
  <si>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</si>
  <si>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</si>
  <si>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</si>
  <si>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</si>
  <si>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</si>
  <si>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</si>
  <si>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</si>
  <si>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</si>
  <si>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</si>
  <si>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</si>
  <si>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</si>
  <si>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</si>
  <si>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</si>
  <si>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</si>
  <si>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</si>
  <si>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</si>
  <si>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</si>
  <si>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</si>
  <si>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</si>
  <si>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</si>
  <si>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</si>
  <si>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</si>
  <si>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</si>
  <si>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</si>
  <si>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</si>
  <si>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</si>
  <si>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</si>
  <si>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</si>
  <si>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</si>
  <si>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</si>
  <si>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</si>
  <si>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</si>
  <si>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</si>
  <si>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</si>
  <si>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</si>
  <si>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</si>
  <si>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</si>
  <si>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</si>
  <si>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</si>
  <si>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</si>
  <si>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</si>
  <si>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</si>
  <si>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</si>
  <si>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</si>
  <si>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</si>
  <si>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</si>
  <si>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</si>
  <si>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</si>
  <si>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</si>
  <si>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</si>
  <si>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</si>
  <si>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</si>
  <si>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</si>
  <si>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</si>
  <si>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</si>
  <si>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</si>
  <si>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</si>
  <si>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</si>
  <si>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</si>
  <si>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</si>
  <si>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</si>
  <si>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</si>
  <si>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</si>
  <si>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</si>
  <si>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</si>
  <si>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</si>
  <si>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</si>
  <si>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</si>
  <si>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</si>
  <si>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</si>
  <si>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</si>
  <si>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</si>
  <si>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</si>
  <si>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</si>
  <si>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</si>
  <si>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</si>
  <si>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</si>
  <si>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</si>
  <si>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</si>
  <si>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</si>
  <si>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</si>
  <si>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</si>
  <si>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</si>
  <si>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</si>
  <si>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</si>
  <si>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</si>
  <si>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</si>
  <si>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</si>
  <si>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</si>
  <si>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</si>
  <si>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</si>
  <si>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</si>
  <si>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</si>
  <si>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</si>
  <si>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</si>
  <si>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</si>
  <si>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</si>
  <si>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</si>
  <si>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</si>
  <si>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</si>
  <si>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</si>
  <si>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</si>
  <si>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</si>
  <si>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</si>
  <si>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</si>
  <si>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</si>
  <si>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</si>
  <si>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</si>
  <si>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</si>
  <si>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</si>
  <si>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</si>
  <si>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</si>
  <si>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</si>
  <si>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</si>
  <si>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</si>
  <si>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</si>
  <si>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</si>
  <si>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</si>
  <si>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</si>
  <si>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</si>
  <si>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</si>
  <si>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</si>
  <si>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</si>
  <si>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</si>
  <si>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</si>
  <si>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</si>
  <si>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</si>
  <si>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</si>
  <si>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</si>
  <si>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</si>
  <si>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</si>
  <si>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</si>
  <si>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</si>
  <si>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</si>
  <si>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</si>
  <si>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</si>
  <si>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</si>
  <si>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</si>
  <si>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</si>
  <si>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</si>
  <si>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</si>
  <si>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</si>
  <si>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</si>
  <si>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</si>
  <si>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</si>
  <si>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</si>
  <si>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</si>
  <si>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</si>
  <si>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</si>
  <si>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</si>
  <si>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</si>
  <si>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</si>
  <si>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</si>
  <si>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</si>
  <si>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</si>
  <si>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</si>
  <si>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</si>
  <si>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</si>
  <si>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</si>
  <si>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</si>
  <si>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</si>
  <si>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</si>
  <si>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</si>
  <si>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</si>
  <si>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</si>
  <si>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</si>
  <si>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</si>
  <si>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</si>
  <si>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</si>
  <si>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</si>
  <si>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</si>
  <si>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</si>
  <si>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</si>
  <si>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</si>
  <si>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</si>
  <si>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</si>
  <si>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</si>
  <si>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</si>
  <si>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</si>
  <si>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</si>
  <si>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</si>
  <si>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</si>
  <si>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</si>
  <si>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</si>
  <si>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</si>
  <si>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</si>
  <si>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</si>
  <si>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</si>
  <si>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</si>
  <si>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</si>
  <si>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</si>
  <si>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</si>
  <si>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</si>
  <si>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</si>
  <si>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</si>
  <si>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</si>
  <si>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</si>
  <si>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</si>
  <si>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</si>
  <si>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</si>
  <si>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</si>
  <si>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</si>
  <si>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</si>
  <si>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</si>
  <si>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</si>
  <si>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</si>
  <si>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</si>
  <si>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</si>
  <si>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</si>
  <si>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</si>
  <si>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</si>
  <si>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</si>
  <si>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</si>
  <si>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</si>
  <si>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</si>
  <si>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</si>
  <si>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</si>
  <si>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</si>
  <si>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</si>
  <si>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</si>
  <si>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</si>
  <si>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</si>
  <si>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</si>
  <si>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</si>
  <si>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</si>
  <si>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</si>
  <si>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</si>
  <si>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</si>
  <si>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</si>
  <si>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</si>
  <si>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</si>
  <si>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</si>
  <si>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</si>
  <si>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</si>
  <si>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</si>
  <si>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</si>
  <si>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</si>
  <si>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</si>
  <si>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</si>
  <si>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</si>
  <si>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</si>
  <si>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</si>
  <si>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</si>
  <si>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</si>
  <si>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</si>
  <si>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</si>
  <si>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</si>
  <si>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</si>
  <si>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</si>
  <si>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</si>
  <si>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</si>
  <si>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</si>
  <si>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</si>
  <si>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</si>
  <si>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</si>
  <si>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</si>
  <si>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</si>
  <si>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</si>
  <si>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</si>
  <si>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</si>
  <si>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</si>
  <si>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</si>
  <si>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</si>
  <si>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</si>
  <si>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</si>
  <si>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</si>
  <si>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</si>
  <si>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</si>
  <si>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</si>
  <si>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</si>
  <si>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</si>
  <si>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</si>
  <si>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</si>
  <si>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</si>
  <si>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</si>
  <si>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</si>
  <si>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</si>
  <si>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</si>
  <si>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</si>
  <si>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</si>
  <si>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</si>
  <si>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</si>
  <si>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</si>
  <si>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</si>
  <si>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</si>
  <si>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</si>
  <si>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</si>
  <si>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</si>
  <si>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</si>
  <si>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</si>
  <si>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</si>
  <si>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</si>
  <si>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</si>
  <si>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</si>
  <si>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</si>
  <si>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</si>
  <si>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</si>
  <si>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</si>
  <si>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</si>
  <si>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</si>
  <si>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</si>
  <si>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</si>
  <si>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</si>
  <si>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</si>
  <si>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</si>
  <si>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</si>
  <si>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</si>
  <si>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</si>
  <si>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</si>
  <si>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</si>
  <si>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</si>
  <si>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</si>
  <si>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</si>
  <si>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</si>
  <si>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</si>
  <si>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</si>
  <si>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</si>
  <si>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</si>
  <si>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</si>
  <si>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</si>
  <si>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</si>
  <si>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</si>
  <si>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</si>
  <si>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</si>
  <si>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</si>
  <si>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</si>
  <si>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</si>
  <si>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</si>
  <si>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</si>
  <si>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</si>
  <si>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</si>
  <si>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</si>
  <si>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</si>
  <si>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</si>
  <si>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</si>
  <si>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</si>
  <si>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</si>
  <si>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</si>
  <si>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</si>
  <si>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</si>
  <si>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</si>
  <si>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</si>
  <si>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</si>
  <si>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</si>
  <si>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</si>
  <si>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</si>
  <si>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</si>
  <si>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</si>
  <si>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</si>
  <si>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</si>
  <si>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</si>
  <si>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</si>
  <si>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</si>
  <si>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</si>
  <si>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</si>
  <si>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</si>
  <si>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</si>
  <si>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</si>
  <si>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</si>
  <si>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</si>
  <si>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</si>
  <si>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</si>
  <si>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</si>
  <si>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</si>
  <si>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</si>
  <si>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</si>
  <si>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</si>
  <si>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</si>
  <si>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</si>
  <si>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</si>
  <si>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</si>
  <si>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</si>
  <si>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</si>
  <si>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</si>
  <si>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</si>
  <si>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</si>
  <si>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</si>
  <si>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</si>
  <si>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</si>
  <si>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</si>
  <si>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</si>
  <si>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</si>
  <si>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</si>
  <si>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</si>
  <si>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</si>
  <si>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</si>
  <si>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</si>
  <si>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</si>
  <si>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</si>
  <si>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</si>
  <si>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</si>
  <si>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</si>
  <si>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</si>
  <si>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</si>
  <si>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</si>
  <si>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</si>
  <si>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</si>
  <si>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</si>
  <si>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</si>
  <si>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</si>
  <si>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</si>
  <si>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</si>
  <si>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</si>
  <si>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</si>
  <si>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</si>
  <si>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</si>
  <si>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</si>
  <si>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</si>
  <si>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</si>
  <si>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</si>
  <si>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</si>
  <si>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</si>
  <si>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</si>
  <si>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</si>
  <si>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</si>
  <si>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</si>
  <si>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</si>
  <si>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</si>
  <si>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</si>
  <si>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</si>
  <si>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</si>
  <si>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</si>
  <si>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</si>
  <si>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</si>
  <si>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</si>
  <si>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</si>
  <si>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</si>
  <si>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</si>
  <si>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</si>
  <si>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</si>
  <si>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</si>
  <si>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</si>
  <si>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</si>
  <si>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</si>
  <si>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</si>
  <si>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</si>
  <si>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</si>
  <si>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</si>
  <si>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</si>
  <si>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</si>
  <si>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</si>
  <si>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</si>
  <si>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</si>
  <si>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</si>
  <si>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</si>
  <si>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</si>
  <si>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</si>
  <si>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</si>
  <si>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</si>
  <si>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</si>
  <si>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</si>
  <si>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</si>
  <si>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</si>
  <si>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</si>
  <si>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</si>
  <si>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</si>
  <si>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</si>
  <si>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</si>
  <si>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</si>
  <si>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</si>
  <si>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</si>
  <si>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</si>
  <si>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</si>
  <si>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</si>
  <si>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</si>
  <si>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</si>
  <si>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</si>
  <si>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</si>
  <si>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</si>
  <si>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</si>
  <si>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</si>
  <si>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</si>
  <si>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</si>
  <si>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</si>
  <si>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</si>
  <si>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</si>
  <si>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</si>
  <si>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</si>
  <si>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</si>
  <si>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</si>
  <si>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</si>
  <si>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</si>
  <si>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</si>
  <si>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</si>
  <si>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</si>
  <si>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</si>
  <si>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</si>
  <si>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</si>
  <si>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</si>
  <si>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</si>
  <si>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</si>
  <si>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</si>
  <si>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</si>
  <si>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</si>
  <si>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</si>
  <si>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</si>
  <si>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</si>
  <si>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</si>
  <si>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</si>
  <si>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</si>
  <si>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</si>
  <si>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</si>
  <si>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</si>
  <si>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</si>
  <si>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</si>
  <si>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</si>
  <si>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</si>
  <si>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</si>
  <si>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</si>
  <si>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</si>
  <si>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</si>
  <si>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</si>
  <si>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</si>
  <si>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</si>
  <si>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</si>
  <si>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</si>
  <si>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</si>
  <si>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</si>
  <si>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</si>
  <si>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</si>
  <si>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</si>
  <si>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</si>
  <si>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</si>
  <si>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</si>
  <si>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</si>
  <si>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</si>
  <si>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</si>
  <si>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</si>
  <si>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</si>
  <si>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</si>
  <si>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</si>
  <si>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</si>
  <si>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</si>
  <si>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</si>
  <si>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</si>
  <si>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</si>
  <si>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</si>
  <si>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</si>
  <si>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</si>
  <si>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</si>
  <si>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</si>
  <si>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</si>
  <si>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</si>
  <si>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</si>
  <si>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</si>
  <si>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</si>
  <si>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</si>
  <si>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</si>
  <si>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</si>
  <si>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</si>
  <si>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</si>
  <si>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</si>
  <si>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</si>
  <si>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</si>
  <si>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</si>
  <si>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</si>
  <si>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</si>
  <si>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</si>
  <si>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</si>
  <si>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</si>
  <si>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</si>
  <si>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</si>
  <si>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</si>
  <si>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</si>
  <si>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</si>
  <si>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</si>
  <si>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</si>
  <si>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</si>
  <si>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</si>
  <si>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</si>
  <si>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</si>
  <si>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</si>
  <si>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</si>
  <si>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</si>
  <si>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</si>
  <si>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</si>
  <si>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</si>
  <si>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</si>
  <si>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</si>
  <si>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</si>
  <si>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</si>
  <si>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</si>
  <si>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</si>
  <si>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</si>
  <si>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</si>
  <si>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</si>
  <si>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</si>
  <si>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</si>
  <si>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</si>
  <si>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</si>
  <si>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</si>
  <si>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</si>
  <si>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</si>
  <si>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</si>
  <si>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</si>
  <si>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</si>
  <si>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</si>
  <si>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</si>
  <si>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</si>
  <si>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</si>
  <si>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</si>
  <si>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</si>
  <si>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</si>
  <si>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</si>
  <si>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</si>
  <si>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</si>
  <si>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</si>
  <si>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</si>
  <si>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</si>
  <si>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</si>
  <si>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</si>
  <si>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</si>
  <si>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</si>
  <si>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</si>
  <si>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</si>
  <si>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</si>
  <si>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</si>
  <si>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</si>
  <si>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</si>
  <si>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</si>
  <si>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</si>
  <si>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</si>
  <si>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</si>
  <si>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</si>
  <si>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</si>
  <si>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</si>
  <si>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</si>
  <si>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</si>
  <si>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</si>
  <si>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</si>
  <si>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</si>
  <si>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</si>
  <si>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</si>
  <si>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</si>
  <si>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</si>
  <si>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</si>
  <si>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</si>
  <si>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</si>
  <si>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</si>
  <si>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</si>
  <si>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</si>
  <si>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</si>
  <si>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</si>
  <si>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</si>
  <si>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</si>
  <si>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</si>
  <si>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</si>
  <si>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</si>
  <si>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</si>
  <si>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</si>
  <si>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</si>
  <si>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</si>
  <si>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</si>
  <si>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</si>
  <si>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</si>
  <si>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</si>
  <si>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</si>
  <si>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</si>
  <si>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</si>
  <si>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</si>
  <si>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</si>
  <si>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</si>
  <si>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</si>
  <si>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</si>
  <si>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</si>
  <si>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</si>
  <si>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</si>
  <si>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</si>
  <si>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</si>
  <si>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</si>
  <si>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</si>
  <si>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</si>
  <si>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</si>
  <si>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</si>
  <si>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</si>
  <si>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</si>
  <si>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</si>
  <si>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</si>
  <si>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</si>
  <si>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</si>
  <si>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</si>
  <si>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</si>
  <si>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</si>
  <si>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</si>
  <si>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</si>
  <si>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</si>
  <si>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</si>
  <si>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</si>
  <si>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</si>
  <si>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</si>
  <si>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</si>
  <si>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</si>
  <si>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</si>
  <si>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</si>
  <si>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</si>
  <si>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</si>
  <si>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</si>
  <si>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</si>
  <si>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</si>
  <si>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</si>
  <si>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</si>
  <si>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</si>
  <si>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</si>
  <si>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</si>
  <si>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</si>
  <si>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</si>
  <si>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</si>
  <si>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</si>
  <si>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</si>
  <si>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</si>
  <si>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</si>
  <si>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</si>
  <si>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</si>
  <si>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</si>
  <si>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</si>
  <si>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</si>
  <si>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</si>
  <si>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</si>
  <si>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</si>
  <si>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</si>
  <si>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</si>
  <si>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</si>
  <si>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</si>
  <si>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</si>
  <si>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</si>
  <si>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</si>
  <si>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</si>
  <si>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</si>
  <si>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</si>
  <si>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</si>
  <si>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</si>
  <si>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</si>
  <si>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</si>
  <si>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</si>
  <si>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</si>
  <si>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</si>
  <si>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</si>
  <si>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</si>
  <si>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</si>
  <si>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</si>
  <si>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</si>
  <si>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</si>
  <si>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</si>
  <si>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</si>
  <si>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</si>
  <si>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</si>
  <si>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</si>
  <si>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</si>
  <si>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</si>
  <si>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</si>
  <si>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</si>
  <si>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</si>
  <si>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</si>
  <si>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</si>
  <si>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</si>
  <si>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</si>
  <si>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</si>
  <si>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</si>
  <si>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</si>
  <si>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</si>
  <si>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</si>
  <si>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</si>
  <si>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</si>
  <si>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</si>
  <si>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</si>
  <si>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</si>
  <si>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</si>
  <si>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</si>
  <si>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</si>
  <si>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</si>
  <si>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</si>
  <si>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</si>
  <si>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</si>
  <si>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</si>
  <si>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</si>
  <si>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</si>
  <si>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</si>
  <si>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</si>
  <si>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</si>
  <si>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</si>
  <si>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</si>
  <si>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</si>
  <si>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</si>
  <si>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</si>
  <si>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</si>
  <si>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</si>
  <si>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</si>
  <si>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</si>
  <si>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</si>
  <si>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</si>
  <si>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</si>
  <si>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</si>
  <si>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</si>
  <si>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</si>
  <si>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</si>
  <si>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</si>
  <si>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</si>
  <si>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</si>
  <si>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</si>
  <si>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</si>
  <si>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</si>
  <si>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</si>
  <si>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</si>
  <si>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</si>
  <si>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</si>
  <si>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</si>
  <si>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</si>
  <si>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</si>
  <si>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</si>
  <si>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</si>
  <si>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</si>
  <si>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</si>
  <si>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</si>
  <si>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</si>
  <si>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</si>
  <si>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</si>
  <si>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</si>
  <si>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</si>
  <si>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</si>
  <si>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</si>
  <si>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</si>
  <si>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</si>
  <si>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</si>
  <si>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</si>
  <si>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</si>
  <si>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</si>
  <si>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</si>
  <si>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</si>
  <si>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</si>
  <si>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</si>
  <si>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</si>
  <si>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</si>
  <si>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</si>
  <si>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</si>
  <si>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</si>
  <si>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</si>
  <si>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</si>
  <si>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</si>
  <si>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</si>
  <si>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</si>
  <si>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</si>
  <si>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</si>
  <si>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</si>
  <si>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</si>
  <si>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</si>
  <si>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</si>
  <si>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</si>
  <si>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</si>
  <si>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</si>
  <si>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</si>
  <si>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</si>
  <si>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</si>
  <si>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</si>
  <si>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</si>
  <si>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</si>
  <si>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</si>
  <si>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</si>
  <si>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</si>
  <si>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</si>
  <si>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</si>
  <si>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</si>
  <si>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</si>
  <si>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</si>
  <si>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</si>
  <si>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</si>
  <si>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</si>
  <si>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</si>
  <si>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</si>
  <si>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</si>
  <si>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</si>
  <si>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</si>
  <si>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</si>
  <si>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</si>
  <si>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</si>
  <si>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</si>
  <si>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</si>
  <si>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</si>
  <si>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</si>
  <si>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</si>
  <si>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</si>
  <si>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</si>
  <si>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</si>
  <si>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</si>
  <si>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</si>
  <si>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</si>
  <si>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</si>
  <si>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</si>
  <si>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</si>
  <si>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</si>
  <si>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</si>
  <si>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</si>
  <si>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</si>
  <si>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</si>
  <si>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</si>
  <si>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</si>
  <si>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</si>
  <si>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</si>
  <si>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</si>
  <si>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</si>
  <si>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</si>
  <si>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</si>
  <si>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</si>
  <si>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</si>
  <si>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</si>
  <si>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</si>
  <si>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</si>
  <si>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</si>
  <si>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</si>
  <si>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</si>
  <si>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</si>
  <si>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</si>
  <si>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</si>
  <si>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</si>
  <si>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</si>
  <si>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</si>
  <si>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</si>
  <si>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</si>
  <si>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</si>
  <si>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</si>
  <si>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</si>
  <si>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</si>
  <si>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</si>
  <si>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</si>
  <si>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</si>
  <si>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</si>
  <si>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</si>
  <si>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</si>
  <si>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</si>
  <si>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</si>
  <si>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</si>
  <si>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</si>
  <si>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</si>
  <si>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</si>
  <si>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</si>
  <si>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</si>
  <si>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</si>
  <si>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</si>
  <si>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</si>
  <si>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</si>
  <si>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</si>
  <si>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</si>
  <si>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</si>
  <si>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</si>
  <si>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</si>
  <si>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</si>
  <si>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</si>
  <si>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</si>
  <si>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</si>
  <si>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</si>
  <si>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</si>
  <si>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</si>
  <si>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</si>
  <si>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</si>
  <si>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</si>
  <si>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</si>
  <si>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</si>
  <si>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</si>
  <si>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</si>
  <si>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</si>
  <si>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</si>
  <si>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</si>
  <si>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</si>
  <si>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</si>
  <si>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</si>
  <si>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</si>
  <si>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</si>
  <si>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</si>
  <si>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</si>
  <si>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</si>
  <si>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</si>
  <si>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</si>
  <si>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</si>
  <si>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</si>
  <si>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</si>
  <si>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</si>
  <si>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</si>
  <si>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</si>
  <si>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</si>
  <si>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</si>
  <si>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</si>
  <si>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</si>
  <si>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</si>
  <si>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</si>
  <si>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</si>
  <si>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</si>
  <si>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</si>
  <si>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</si>
  <si>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</si>
  <si>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</si>
  <si>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</si>
  <si>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</si>
  <si>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</si>
  <si>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</si>
  <si>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</si>
  <si>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</si>
  <si>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</si>
  <si>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</si>
  <si>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</si>
  <si>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</si>
  <si>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</si>
  <si>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</si>
  <si>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</si>
  <si>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</si>
  <si>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</si>
  <si>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</si>
  <si>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</si>
  <si>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</si>
  <si>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</si>
  <si>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</si>
  <si>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</si>
  <si>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</si>
  <si>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</si>
  <si>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</si>
  <si>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</si>
  <si>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</si>
  <si>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</si>
  <si>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</si>
  <si>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</si>
  <si>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</si>
  <si>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</si>
  <si>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</si>
  <si>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</si>
  <si>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</si>
  <si>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</si>
  <si>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</si>
  <si>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</si>
  <si>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</si>
  <si>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</si>
  <si>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</si>
  <si>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</si>
  <si>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</si>
  <si>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</si>
  <si>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</si>
  <si>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</si>
  <si>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</si>
  <si>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</si>
  <si>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</si>
  <si>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</si>
  <si>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</si>
  <si>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</si>
  <si>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</si>
  <si>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</si>
  <si>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</si>
  <si>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</si>
  <si>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</si>
  <si>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</si>
  <si>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</si>
  <si>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</si>
  <si>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</si>
  <si>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</si>
  <si>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</si>
  <si>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</si>
  <si>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</si>
  <si>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</si>
  <si>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</si>
  <si>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</si>
  <si>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</si>
  <si>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</si>
  <si>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</si>
  <si>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</si>
  <si>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</si>
  <si>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</si>
  <si>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</si>
  <si>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</si>
  <si>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</si>
  <si>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</si>
  <si>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</si>
  <si>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</si>
  <si>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</si>
  <si>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</si>
  <si>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</si>
  <si>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</si>
  <si>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</si>
  <si>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</si>
  <si>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</si>
  <si>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</si>
  <si>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</si>
  <si>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</si>
  <si>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</si>
  <si>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</si>
  <si>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</si>
  <si>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</si>
  <si>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</si>
  <si>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</si>
  <si>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</si>
  <si>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</si>
  <si>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</si>
  <si>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</si>
  <si>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</si>
  <si>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</si>
  <si>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</si>
  <si>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</si>
  <si>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</si>
  <si>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</si>
  <si>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</si>
  <si>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</si>
  <si>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</si>
  <si>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</si>
  <si>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</si>
  <si>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</si>
  <si>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</si>
  <si>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</si>
  <si>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</si>
  <si>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</si>
  <si>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</si>
  <si>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</si>
  <si>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</si>
  <si>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</si>
  <si>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</si>
  <si>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</si>
  <si>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</si>
  <si>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</si>
  <si>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</si>
  <si>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</si>
  <si>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</si>
  <si>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</si>
  <si>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</si>
  <si>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</si>
  <si>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</si>
  <si>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</si>
  <si>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</si>
  <si>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</si>
  <si>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</si>
  <si>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</si>
  <si>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</si>
  <si>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</si>
  <si>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</si>
  <si>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</si>
  <si>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</si>
  <si>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</si>
  <si>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</si>
  <si>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</si>
  <si>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</si>
  <si>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</si>
  <si>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</si>
  <si>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</si>
  <si>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</si>
  <si>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</si>
  <si>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</si>
  <si>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</si>
  <si>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</si>
  <si>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</si>
  <si>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</si>
  <si>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</si>
  <si>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</si>
  <si>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</si>
  <si>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</si>
  <si>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</si>
  <si>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</si>
  <si>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</si>
  <si>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</si>
  <si>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</si>
  <si>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</si>
  <si>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</si>
  <si>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</si>
  <si>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</si>
  <si>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</si>
  <si>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</si>
  <si>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</si>
  <si>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</si>
  <si>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</si>
  <si>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</si>
  <si>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</si>
  <si>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</si>
  <si>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</si>
  <si>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</si>
  <si>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</si>
  <si>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</si>
  <si>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</si>
  <si>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</si>
  <si>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</si>
  <si>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</si>
  <si>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</si>
  <si>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</si>
  <si>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</si>
  <si>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</si>
  <si>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</si>
  <si>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</si>
  <si>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</si>
  <si>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</si>
  <si>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</si>
  <si>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</si>
  <si>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</si>
  <si>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</si>
  <si>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</si>
  <si>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</si>
  <si>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</si>
  <si>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</si>
  <si>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</si>
  <si>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</si>
  <si>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</si>
  <si>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</si>
  <si>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</si>
  <si>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</si>
  <si>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</si>
  <si>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</si>
  <si>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</si>
  <si>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</si>
  <si>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</si>
  <si>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</si>
  <si>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</si>
  <si>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</si>
  <si>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</si>
  <si>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</si>
  <si>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</si>
  <si>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</si>
  <si>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</si>
  <si>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</si>
  <si>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</si>
  <si>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</si>
  <si>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</si>
  <si>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</si>
  <si>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</si>
  <si>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</si>
  <si>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</si>
  <si>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</si>
  <si>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</si>
  <si>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</si>
  <si>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</si>
  <si>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</si>
  <si>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</si>
  <si>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</si>
  <si>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</si>
  <si>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</si>
  <si>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</si>
  <si>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</si>
  <si>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</si>
  <si>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</si>
  <si>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</si>
  <si>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</si>
  <si>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</si>
  <si>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</si>
  <si>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</si>
  <si>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</si>
  <si>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</si>
  <si>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</si>
  <si>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</si>
  <si>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</si>
  <si>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</si>
  <si>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</si>
  <si>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</si>
  <si>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</si>
  <si>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</si>
  <si>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</si>
  <si>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</si>
  <si>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</si>
  <si>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</si>
  <si>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</si>
  <si>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</si>
  <si>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</si>
  <si>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</si>
  <si>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</si>
  <si>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</si>
  <si>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</si>
  <si>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</si>
  <si>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</si>
  <si>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</si>
  <si>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</si>
  <si>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</si>
  <si>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</si>
  <si>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</si>
  <si>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</si>
  <si>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</si>
  <si>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</si>
  <si>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</si>
  <si>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</si>
  <si>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</si>
  <si>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</si>
  <si>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</si>
  <si>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</si>
  <si>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</si>
  <si>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</si>
  <si>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</si>
  <si>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</si>
  <si>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</si>
  <si>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</si>
  <si>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</si>
  <si>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</si>
  <si>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</si>
  <si>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</si>
  <si>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</si>
  <si>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</si>
  <si>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</si>
  <si>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</si>
  <si>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</si>
  <si>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</si>
  <si>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</si>
  <si>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</si>
  <si>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</si>
  <si>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</si>
  <si>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</si>
  <si>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</si>
  <si>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</si>
  <si>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</si>
  <si>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</si>
  <si>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</si>
  <si>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</si>
  <si>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</si>
  <si>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</si>
  <si>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</si>
  <si>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</si>
  <si>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</si>
  <si>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</si>
  <si>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</si>
  <si>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</si>
  <si>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</si>
  <si>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</si>
  <si>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</si>
  <si>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</si>
  <si>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</si>
  <si>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</si>
  <si>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</si>
  <si>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</si>
  <si>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</si>
  <si>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</si>
  <si>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</si>
  <si>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</si>
  <si>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</si>
  <si>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</si>
  <si>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</si>
  <si>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</si>
  <si>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</si>
  <si>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</si>
  <si>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</si>
  <si>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</si>
  <si>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</si>
  <si>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</si>
  <si>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</si>
  <si>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</si>
  <si>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</si>
  <si>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</si>
  <si>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</si>
  <si>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</si>
  <si>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</si>
  <si>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</si>
  <si>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</si>
  <si>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</si>
  <si>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</si>
  <si>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</si>
  <si>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</si>
  <si>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</si>
  <si>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</si>
  <si>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</si>
  <si>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</si>
  <si>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</si>
  <si>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</si>
  <si>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</si>
  <si>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</si>
  <si>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</si>
  <si>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</si>
  <si>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</si>
  <si>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</si>
  <si>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</si>
  <si>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</si>
  <si>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</si>
  <si>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</si>
  <si>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</si>
  <si>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</si>
  <si>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</si>
  <si>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</si>
  <si>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</si>
  <si>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</si>
  <si>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</si>
  <si>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</si>
  <si>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</si>
  <si>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</si>
  <si>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</si>
  <si>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</si>
  <si>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</si>
  <si>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</si>
  <si>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</si>
  <si>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</si>
  <si>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</si>
  <si>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</si>
  <si>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</si>
  <si>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</si>
  <si>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</si>
  <si>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</si>
  <si>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</si>
  <si>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</si>
  <si>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</si>
  <si>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</si>
  <si>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</si>
  <si>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</si>
  <si>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</si>
  <si>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</si>
  <si>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</si>
  <si>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</si>
  <si>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</si>
  <si>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</si>
  <si>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</si>
  <si>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</si>
  <si>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</si>
  <si>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</si>
  <si>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</si>
  <si>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</si>
  <si>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</si>
  <si>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</si>
  <si>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</si>
  <si>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</si>
  <si>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</si>
  <si>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</si>
  <si>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</si>
  <si>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</si>
  <si>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</si>
  <si>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</si>
  <si>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</si>
  <si>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</si>
  <si>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</si>
  <si>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</si>
  <si>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</si>
  <si>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</si>
  <si>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</si>
  <si>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</si>
  <si>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</si>
  <si>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</si>
  <si>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</si>
  <si>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</si>
  <si>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</si>
  <si>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</si>
  <si>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</si>
  <si>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</si>
  <si>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</si>
  <si>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</si>
  <si>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</si>
  <si>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</si>
  <si>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</si>
  <si>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</si>
  <si>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</si>
  <si>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</si>
  <si>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</si>
  <si>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</si>
  <si>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</si>
  <si>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</si>
  <si>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</si>
  <si>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</si>
  <si>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</si>
  <si>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</si>
  <si>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</si>
  <si>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</si>
  <si>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</si>
  <si>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</si>
  <si>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</si>
  <si>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</si>
  <si>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</si>
  <si>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</si>
  <si>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</si>
  <si>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</si>
  <si>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</si>
  <si>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</si>
  <si>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</si>
  <si>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</si>
  <si>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</si>
  <si>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</si>
  <si>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</si>
  <si>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</si>
  <si>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</si>
  <si>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</si>
  <si>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</si>
  <si>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</si>
  <si>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</si>
  <si>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</si>
  <si>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</si>
  <si>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</si>
  <si>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</si>
  <si>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</si>
  <si>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</si>
  <si>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</si>
  <si>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</si>
  <si>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</si>
  <si>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</si>
  <si>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</si>
  <si>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</si>
  <si>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</si>
  <si>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</si>
  <si>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</si>
  <si>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</si>
  <si>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</si>
  <si>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</si>
  <si>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</si>
  <si>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</si>
  <si>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</si>
  <si>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</si>
  <si>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</si>
  <si>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</si>
  <si>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</si>
  <si>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</si>
  <si>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</si>
  <si>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</si>
  <si>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</si>
  <si>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</si>
  <si>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</si>
  <si>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</si>
  <si>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</si>
  <si>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</si>
  <si>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</si>
  <si>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</si>
  <si>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</si>
  <si>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</si>
  <si>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</si>
  <si>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</si>
  <si>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</si>
  <si>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</si>
  <si>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</si>
  <si>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</si>
  <si>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</si>
  <si>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</si>
  <si>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</si>
  <si>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</si>
  <si>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</si>
  <si>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</si>
  <si>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</si>
  <si>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</si>
  <si>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</si>
  <si>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</si>
  <si>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</si>
  <si>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</si>
  <si>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</si>
  <si>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</si>
  <si>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</si>
  <si>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</si>
  <si>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</si>
  <si>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</si>
  <si>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</si>
  <si>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</si>
  <si>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</si>
  <si>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</si>
  <si>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</si>
  <si>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</si>
  <si>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</si>
  <si>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</si>
  <si>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</si>
  <si>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</si>
  <si>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</si>
  <si>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</si>
  <si>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</si>
  <si>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</si>
  <si>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</si>
  <si>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</si>
  <si>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</si>
  <si>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</si>
  <si>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</si>
  <si>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</si>
  <si>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</si>
  <si>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</si>
  <si>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</si>
  <si>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</si>
  <si>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</si>
  <si>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</si>
  <si>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</si>
  <si>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</si>
  <si>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</si>
  <si>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</si>
  <si>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</si>
  <si>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</si>
  <si>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</si>
  <si>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</si>
  <si>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</si>
  <si>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</si>
  <si>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</si>
  <si>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</si>
  <si>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</si>
  <si>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</si>
  <si>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</si>
  <si>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</si>
  <si>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</si>
  <si>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</si>
  <si>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</si>
  <si>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</si>
  <si>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</si>
  <si>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</si>
  <si>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</si>
  <si>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</si>
  <si>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</si>
  <si>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</si>
  <si>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</si>
  <si>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</si>
  <si>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</si>
  <si>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</si>
  <si>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</si>
  <si>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</si>
  <si>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</si>
  <si>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</si>
  <si>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</si>
  <si>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</si>
  <si>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</si>
  <si>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</si>
  <si>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</si>
  <si>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</si>
  <si>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</si>
  <si>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</si>
  <si>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</si>
  <si>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</si>
  <si>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</si>
  <si>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</si>
  <si>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</si>
  <si>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</si>
  <si>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</si>
  <si>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</si>
  <si>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</si>
  <si>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</si>
  <si>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</si>
  <si>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</si>
  <si>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</si>
  <si>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</si>
  <si>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</si>
  <si>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</si>
  <si>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</si>
  <si>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</si>
  <si>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</si>
  <si>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</si>
  <si>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</si>
  <si>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</si>
  <si>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</si>
  <si>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</si>
  <si>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</si>
  <si>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</si>
  <si>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</si>
  <si>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</si>
  <si>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</si>
  <si>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</si>
  <si>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</si>
  <si>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</si>
  <si>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</si>
  <si>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</si>
  <si>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</si>
  <si>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</si>
  <si>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</si>
  <si>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</si>
  <si>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</si>
  <si>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</si>
  <si>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</si>
  <si>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</si>
  <si>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</si>
  <si>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</si>
  <si>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</si>
  <si>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</si>
  <si>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</si>
  <si>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</si>
  <si>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</si>
  <si>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</si>
  <si>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</si>
  <si>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</si>
  <si>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</si>
  <si>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</si>
  <si>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</si>
  <si>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</si>
  <si>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</si>
  <si>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</si>
  <si>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</si>
  <si>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</si>
  <si>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</si>
  <si>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</si>
  <si>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</si>
  <si>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</si>
  <si>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</si>
  <si>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</si>
  <si>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</si>
  <si>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</si>
  <si>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</si>
  <si>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</si>
  <si>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</si>
  <si>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</si>
  <si>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</si>
  <si>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</si>
  <si>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</si>
  <si>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</si>
  <si>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</si>
  <si>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</si>
  <si>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</si>
  <si>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</si>
  <si>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</si>
  <si>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</si>
  <si>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</si>
  <si>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</si>
  <si>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</si>
  <si>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</si>
  <si>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</si>
  <si>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</si>
  <si>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</si>
  <si>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</si>
  <si>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</si>
  <si>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</si>
  <si>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</si>
  <si>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</si>
  <si>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</si>
  <si>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</si>
  <si>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</si>
  <si>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</si>
  <si>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</si>
  <si>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</si>
  <si>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</si>
  <si>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</si>
  <si>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</si>
  <si>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</si>
  <si>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</si>
  <si>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</si>
  <si>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</si>
  <si>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</si>
  <si>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</si>
  <si>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</si>
  <si>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</si>
  <si>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</si>
  <si>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</si>
  <si>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</si>
  <si>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</si>
  <si>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</si>
  <si>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</si>
  <si>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</si>
  <si>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</si>
  <si>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</si>
  <si>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</si>
  <si>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</si>
  <si>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</si>
  <si>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</si>
  <si>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</si>
  <si>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</si>
  <si>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</si>
  <si>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</si>
  <si>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</si>
  <si>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</si>
  <si>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</si>
  <si>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</si>
  <si>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</si>
  <si>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</si>
  <si>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</si>
  <si>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</si>
  <si>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</si>
  <si>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</si>
  <si>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</si>
  <si>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</si>
  <si>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</si>
  <si>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</si>
  <si>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</si>
  <si>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</si>
  <si>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</si>
  <si>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</si>
  <si>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</si>
  <si>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</si>
  <si>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</si>
  <si>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</si>
  <si>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</si>
  <si>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</si>
  <si>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</si>
  <si>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</si>
  <si>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</si>
  <si>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</si>
  <si>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</si>
  <si>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</si>
  <si>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</si>
  <si>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</si>
  <si>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</si>
  <si>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</si>
  <si>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</si>
  <si>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</si>
  <si>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</si>
  <si>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</si>
  <si>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</si>
  <si>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</si>
  <si>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</si>
  <si>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</si>
  <si>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</si>
  <si>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</si>
  <si>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</si>
  <si>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</si>
  <si>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</si>
  <si>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</si>
  <si>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</si>
  <si>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</si>
  <si>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</si>
  <si>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</si>
  <si>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</si>
  <si>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</si>
  <si>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</si>
  <si>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</si>
  <si>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</si>
  <si>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</si>
  <si>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</si>
  <si>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</si>
  <si>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</si>
  <si>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</si>
  <si>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</si>
  <si>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</si>
  <si>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</si>
  <si>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</si>
  <si>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</si>
  <si>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</si>
  <si>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</si>
  <si>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</si>
  <si>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</si>
  <si>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</si>
  <si>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</si>
  <si>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</si>
  <si>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</si>
  <si>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</si>
  <si>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</si>
  <si>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</si>
  <si>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</si>
  <si>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</si>
  <si>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</si>
  <si>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</si>
  <si>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</si>
  <si>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</si>
  <si>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</si>
  <si>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</si>
  <si>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</si>
  <si>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</si>
  <si>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</si>
  <si>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</si>
  <si>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</si>
  <si>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</si>
  <si>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</si>
  <si>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</si>
  <si>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</si>
  <si>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</si>
  <si>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</si>
  <si>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</si>
  <si>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</si>
  <si>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</si>
  <si>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</si>
  <si>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</si>
  <si>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</si>
  <si>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</si>
  <si>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</si>
  <si>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</si>
  <si>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</si>
  <si>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</si>
  <si>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</si>
  <si>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</si>
  <si>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</si>
  <si>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</si>
  <si>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</si>
  <si>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</si>
  <si>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</si>
  <si>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</si>
  <si>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</si>
  <si>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</si>
  <si>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</si>
  <si>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</si>
  <si>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</si>
  <si>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</si>
  <si>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</si>
  <si>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</si>
  <si>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</si>
  <si>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</si>
  <si>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</si>
  <si>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</si>
  <si>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</si>
  <si>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</si>
  <si>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</si>
  <si>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</si>
  <si>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</si>
  <si>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</si>
  <si>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</si>
  <si>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</si>
  <si>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</si>
  <si>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</si>
  <si>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</si>
  <si>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</si>
  <si>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</si>
  <si>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</si>
  <si>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</si>
  <si>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</si>
  <si>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</si>
  <si>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</si>
  <si>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</si>
  <si>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</si>
  <si>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</si>
  <si>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</si>
  <si>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</si>
  <si>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</si>
  <si>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</si>
  <si>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</si>
  <si>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</si>
  <si>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</si>
  <si>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</si>
  <si>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</si>
  <si>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</si>
  <si>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</si>
  <si>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</si>
  <si>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</si>
  <si>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</si>
  <si>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</si>
  <si>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</si>
  <si>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</si>
  <si>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</si>
  <si>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</si>
  <si>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</si>
  <si>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</si>
  <si>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</si>
  <si>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</si>
  <si>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</si>
  <si>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</si>
  <si>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</si>
  <si>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</si>
  <si>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</si>
  <si>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</si>
  <si>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</si>
  <si>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</si>
  <si>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</si>
  <si>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</si>
  <si>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</si>
  <si>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</si>
  <si>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</si>
  <si>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</si>
  <si>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</si>
  <si>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</si>
  <si>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</si>
  <si>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</si>
  <si>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</si>
  <si>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</si>
  <si>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</si>
  <si>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</si>
  <si>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</si>
  <si>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</si>
  <si>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</si>
  <si>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</si>
  <si>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</si>
  <si>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</si>
  <si>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</si>
  <si>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</si>
  <si>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</si>
  <si>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</si>
  <si>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</si>
  <si>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</si>
  <si>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</si>
  <si>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</si>
  <si>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</si>
  <si>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</si>
  <si>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</si>
  <si>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</si>
  <si>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</si>
  <si>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</si>
  <si>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</si>
  <si>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</si>
  <si>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</si>
  <si>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</si>
  <si>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</si>
  <si>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</si>
  <si>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</si>
  <si>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</si>
  <si>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</si>
  <si>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</si>
  <si>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</si>
  <si>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</si>
  <si>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</si>
  <si>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</si>
  <si>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</si>
  <si>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</si>
  <si>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</si>
  <si>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</si>
  <si>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</si>
  <si>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</si>
  <si>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</si>
  <si>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</si>
  <si>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</si>
  <si>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</si>
  <si>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</si>
  <si>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</si>
  <si>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</si>
  <si>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</si>
  <si>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</si>
  <si>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</si>
  <si>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</si>
  <si>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</si>
  <si>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</si>
  <si>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</si>
  <si>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</si>
  <si>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</si>
  <si>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</si>
  <si>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</si>
  <si>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</si>
  <si>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</si>
  <si>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</si>
  <si>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</si>
  <si>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</si>
  <si>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</si>
  <si>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</si>
  <si>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</si>
  <si>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</si>
  <si>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</si>
  <si>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</si>
  <si>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</si>
  <si>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</si>
  <si>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</si>
  <si>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</si>
  <si>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</si>
  <si>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</si>
  <si>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</si>
  <si>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</si>
  <si>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</si>
  <si>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</si>
  <si>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</si>
  <si>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</si>
  <si>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</si>
  <si>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</si>
  <si>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</si>
  <si>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</si>
  <si>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</si>
  <si>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</si>
  <si>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</si>
  <si>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</si>
  <si>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</si>
  <si>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</si>
  <si>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</si>
  <si>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</si>
  <si>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</si>
  <si>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</si>
  <si>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</si>
  <si>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</si>
  <si>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</si>
  <si>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</si>
  <si>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</si>
  <si>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</si>
  <si>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</si>
  <si>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</si>
  <si>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</si>
  <si>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</si>
  <si>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</si>
  <si>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</si>
  <si>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</si>
  <si>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</si>
  <si>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</si>
  <si>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</si>
  <si>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</si>
  <si>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</si>
  <si>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</si>
  <si>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</si>
  <si>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</si>
  <si>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</si>
  <si>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</si>
  <si>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</si>
  <si>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</si>
  <si>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</si>
  <si>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</si>
  <si>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</si>
  <si>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</si>
  <si>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</si>
  <si>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</si>
  <si>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</si>
  <si>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</si>
  <si>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</si>
  <si>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</si>
  <si>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</si>
  <si>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</si>
  <si>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</si>
  <si>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</si>
  <si>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</si>
  <si>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</si>
  <si>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</si>
  <si>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</si>
  <si>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</si>
  <si>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</si>
  <si>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</si>
  <si>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</si>
  <si>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</si>
  <si>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</si>
  <si>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</si>
  <si>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</si>
  <si>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</si>
  <si>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</si>
  <si>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</si>
  <si>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</si>
  <si>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</si>
  <si>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</si>
  <si>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</si>
  <si>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</si>
  <si>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</si>
  <si>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</si>
  <si>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</si>
  <si>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</si>
  <si>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</si>
  <si>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</si>
  <si>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</si>
  <si>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</si>
  <si>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</si>
  <si>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</si>
  <si>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</si>
  <si>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</si>
  <si>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</si>
  <si>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</si>
  <si>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</si>
  <si>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</si>
  <si>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</si>
  <si>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</si>
  <si>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</si>
  <si>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</si>
  <si>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</si>
  <si>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</si>
  <si>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</si>
  <si>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</si>
  <si>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</si>
  <si>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</si>
  <si>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</si>
  <si>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</si>
  <si>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</si>
  <si>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</si>
  <si>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</si>
  <si>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</si>
  <si>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</si>
  <si>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</si>
  <si>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</si>
  <si>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</si>
  <si>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</si>
  <si>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</si>
  <si>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</si>
  <si>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</si>
  <si>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</si>
  <si>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</si>
  <si>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</si>
  <si>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</si>
  <si>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</si>
  <si>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</si>
  <si>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</si>
  <si>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</si>
  <si>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</si>
  <si>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</si>
  <si>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</si>
  <si>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</si>
  <si>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</si>
  <si>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</si>
  <si>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</si>
  <si>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</si>
  <si>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</si>
  <si>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</si>
  <si>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</si>
  <si>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</si>
  <si>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</si>
  <si>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</si>
  <si>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</si>
  <si>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</si>
  <si>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</si>
  <si>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</si>
  <si>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</si>
  <si>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</si>
  <si>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</si>
  <si>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</si>
  <si>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</si>
  <si>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</si>
  <si>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</si>
  <si>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</si>
  <si>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</si>
  <si>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</si>
  <si>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</si>
  <si>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</si>
  <si>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</si>
  <si>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</si>
  <si>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</si>
  <si>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</si>
  <si>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</si>
  <si>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</si>
  <si>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</si>
  <si>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</si>
  <si>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</si>
  <si>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</si>
  <si>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</si>
  <si>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</si>
  <si>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</si>
  <si>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</si>
  <si>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</si>
  <si>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</si>
  <si>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</si>
  <si>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</si>
  <si>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</si>
  <si>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</si>
  <si>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</si>
  <si>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</si>
  <si>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</si>
  <si>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</si>
  <si>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</si>
  <si>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</si>
  <si>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</si>
  <si>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</si>
  <si>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</si>
  <si>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</si>
  <si>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</si>
  <si>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</si>
  <si>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</si>
  <si>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</si>
  <si>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</si>
  <si>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</si>
  <si>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</si>
  <si>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</si>
  <si>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</si>
  <si>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</si>
  <si>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</si>
  <si>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</si>
  <si>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</si>
  <si>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</si>
  <si>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</si>
  <si>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</si>
  <si>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</si>
  <si>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</si>
  <si>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</si>
  <si>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</si>
  <si>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</si>
  <si>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</si>
  <si>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</si>
  <si>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</si>
  <si>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</si>
  <si>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</si>
  <si>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</si>
  <si>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</si>
  <si>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</si>
  <si>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</si>
  <si>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</si>
  <si>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</si>
  <si>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</si>
  <si>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</si>
  <si>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</si>
  <si>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</si>
  <si>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</si>
  <si>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</si>
  <si>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</si>
  <si>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</si>
  <si>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</si>
  <si>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</si>
  <si>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</si>
  <si>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</si>
  <si>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</si>
  <si>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</si>
  <si>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</si>
  <si>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</si>
  <si>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</si>
  <si>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</si>
  <si>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</si>
  <si>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</si>
  <si>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</si>
  <si>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</si>
  <si>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</si>
  <si>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</si>
  <si>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</si>
  <si>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</si>
  <si>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</si>
  <si>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</si>
  <si>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</si>
  <si>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</si>
  <si>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</si>
  <si>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</si>
  <si>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</si>
  <si>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</si>
  <si>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</si>
  <si>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</si>
  <si>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</si>
  <si>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</si>
  <si>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</si>
  <si>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</si>
  <si>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</si>
  <si>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</si>
  <si>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</si>
  <si>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</si>
  <si>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</si>
  <si>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</si>
  <si>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</si>
  <si>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</si>
  <si>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</si>
  <si>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</si>
  <si>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</si>
  <si>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</si>
  <si>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</si>
  <si>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</si>
  <si>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</si>
  <si>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</si>
  <si>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</si>
  <si>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</si>
  <si>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</si>
  <si>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</si>
  <si>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</si>
  <si>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</si>
  <si>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</si>
  <si>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</si>
  <si>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</si>
  <si>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</si>
  <si>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</si>
  <si>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</si>
  <si>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</si>
  <si>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</si>
  <si>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</si>
  <si>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</si>
  <si>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</si>
  <si>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</si>
  <si>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</si>
  <si>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</si>
  <si>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</si>
  <si>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</si>
  <si>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</si>
  <si>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</si>
  <si>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</si>
  <si>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</si>
  <si>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</si>
  <si>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</si>
  <si>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</si>
  <si>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</si>
  <si>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</si>
  <si>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</si>
  <si>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</si>
  <si>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</si>
  <si>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</si>
  <si>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</si>
  <si>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</si>
  <si>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</si>
  <si>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</si>
  <si>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</si>
  <si>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</si>
  <si>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</si>
  <si>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</si>
  <si>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</si>
  <si>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</si>
  <si>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</si>
  <si>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</si>
  <si>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</si>
  <si>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</si>
  <si>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</si>
  <si>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</si>
  <si>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</si>
  <si>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</si>
  <si>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</si>
  <si>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</si>
  <si>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</si>
  <si>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</si>
  <si>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</si>
  <si>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</si>
  <si>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</si>
  <si>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</si>
  <si>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</si>
  <si>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</si>
  <si>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</si>
  <si>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</si>
  <si>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</si>
  <si>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</si>
  <si>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</si>
  <si>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</si>
  <si>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</si>
  <si>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</si>
  <si>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</si>
  <si>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</si>
  <si>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</si>
  <si>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</si>
  <si>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</si>
  <si>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</si>
  <si>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</si>
  <si>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</si>
  <si>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</si>
  <si>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</si>
  <si>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</si>
  <si>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</si>
  <si>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</si>
  <si>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</si>
  <si>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</si>
  <si>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</si>
  <si>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</si>
  <si>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</si>
  <si>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</si>
  <si>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</si>
  <si>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</si>
  <si>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</si>
  <si>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</si>
  <si>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</si>
  <si>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</si>
  <si>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</si>
  <si>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</si>
  <si>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</si>
  <si>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</si>
  <si>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</si>
  <si>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</si>
  <si>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</si>
  <si>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</si>
  <si>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</si>
  <si>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</si>
  <si>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</si>
  <si>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</si>
  <si>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</si>
  <si>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</si>
  <si>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</si>
  <si>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</si>
  <si>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</si>
  <si>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</si>
  <si>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</si>
  <si>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</si>
  <si>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</si>
  <si>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</si>
  <si>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</si>
  <si>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</si>
  <si>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</si>
  <si>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</si>
  <si>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</si>
  <si>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</si>
  <si>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</si>
  <si>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</si>
  <si>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</si>
  <si>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</si>
  <si>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</si>
  <si>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</si>
  <si>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</si>
  <si>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</si>
  <si>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</si>
  <si>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</si>
  <si>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</si>
  <si>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</si>
  <si>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</si>
  <si>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</si>
  <si>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</si>
  <si>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</si>
  <si>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</si>
  <si>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</si>
  <si>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</si>
  <si>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</si>
  <si>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</si>
  <si>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</si>
  <si>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</si>
  <si>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</si>
  <si>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</si>
  <si>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</si>
  <si>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</si>
  <si>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</si>
  <si>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</si>
  <si>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</si>
  <si>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</si>
  <si>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</si>
  <si>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</si>
  <si>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</si>
  <si>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</si>
  <si>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</si>
  <si>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</si>
  <si>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</si>
  <si>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</si>
  <si>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</si>
  <si>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</si>
  <si>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</si>
  <si>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</si>
  <si>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</si>
  <si>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</si>
  <si>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</si>
  <si>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</si>
  <si>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</si>
  <si>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</si>
  <si>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</si>
  <si>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</si>
  <si>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</si>
  <si>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</si>
  <si>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</si>
  <si>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</si>
  <si>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</si>
  <si>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</si>
  <si>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</si>
  <si>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</si>
  <si>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</si>
  <si>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</si>
  <si>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</si>
  <si>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</si>
  <si>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</si>
  <si>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</si>
  <si>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</si>
  <si>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</si>
  <si>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</si>
  <si>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</si>
  <si>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</si>
  <si>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</si>
  <si>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</si>
  <si>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</si>
  <si>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</si>
  <si>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</si>
  <si>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</si>
  <si>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</si>
  <si>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</si>
  <si>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</si>
  <si>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</si>
  <si>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</si>
  <si>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</si>
  <si>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</si>
  <si>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</si>
  <si>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</si>
  <si>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</si>
  <si>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</si>
  <si>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</si>
  <si>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</si>
  <si>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</si>
  <si>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</si>
  <si>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</si>
  <si>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</si>
  <si>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</si>
  <si>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</si>
  <si>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</si>
  <si>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</si>
  <si>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</si>
  <si>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</si>
  <si>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</si>
  <si>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</si>
  <si>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</si>
  <si>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</si>
  <si>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</si>
  <si>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</si>
  <si>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</si>
  <si>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</si>
  <si>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</si>
  <si>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</si>
  <si>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</si>
  <si>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</si>
  <si>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</si>
  <si>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</si>
  <si>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</si>
  <si>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</si>
  <si>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</si>
  <si>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</si>
  <si>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</si>
  <si>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</si>
  <si>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</si>
  <si>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</si>
  <si>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</si>
  <si>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</si>
  <si>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</si>
  <si>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</si>
  <si>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</si>
  <si>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</si>
  <si>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</si>
  <si>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</si>
  <si>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</si>
  <si>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</si>
  <si>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</si>
  <si>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</si>
  <si>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</si>
  <si>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</si>
  <si>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</si>
  <si>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</si>
  <si>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</si>
  <si>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</si>
  <si>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</si>
  <si>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</si>
  <si>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</si>
  <si>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</si>
  <si>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</si>
  <si>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</si>
  <si>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</si>
  <si>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</si>
  <si>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</si>
  <si>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</si>
  <si>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</si>
  <si>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</si>
  <si>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</si>
  <si>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</si>
  <si>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</si>
  <si>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</si>
  <si>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</si>
  <si>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</si>
  <si>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</si>
  <si>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</si>
  <si>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</si>
  <si>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</si>
  <si>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</si>
  <si>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</si>
  <si>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</si>
  <si>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</si>
  <si>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</si>
  <si>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</si>
  <si>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</si>
  <si>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</si>
  <si>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</si>
  <si>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</si>
  <si>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</si>
  <si>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</si>
  <si>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</si>
  <si>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</si>
  <si>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</si>
  <si>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</si>
  <si>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</si>
  <si>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</si>
  <si>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</si>
  <si>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</si>
  <si>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</si>
  <si>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</si>
  <si>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</si>
  <si>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</si>
  <si>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</si>
  <si>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</si>
  <si>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</si>
  <si>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</si>
  <si>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</si>
  <si>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</si>
  <si>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</si>
  <si>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</si>
  <si>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</si>
  <si>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</si>
  <si>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</si>
  <si>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</si>
  <si>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</si>
  <si>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</si>
  <si>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</si>
  <si>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</si>
  <si>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</si>
  <si>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</si>
  <si>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</si>
  <si>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</si>
  <si>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</si>
  <si>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</si>
  <si>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</si>
  <si>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</si>
  <si>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</si>
  <si>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</si>
  <si>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</si>
  <si>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</si>
  <si>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</si>
  <si>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</si>
  <si>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</si>
  <si>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</si>
  <si>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</si>
  <si>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</si>
  <si>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</si>
  <si>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</si>
  <si>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</si>
  <si>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</si>
  <si>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</si>
  <si>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</si>
  <si>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</si>
  <si>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</si>
  <si>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</si>
  <si>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</si>
  <si>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</si>
  <si>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</si>
  <si>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</si>
  <si>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</si>
  <si>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</si>
  <si>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</si>
  <si>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</si>
  <si>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</si>
  <si>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</si>
  <si>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</si>
  <si>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</si>
  <si>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</si>
  <si>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</si>
  <si>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</si>
  <si>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</si>
  <si>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</si>
  <si>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</si>
  <si>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</si>
  <si>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</si>
  <si>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</si>
  <si>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</si>
  <si>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</si>
  <si>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</si>
  <si>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</si>
  <si>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</si>
  <si>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</si>
  <si>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</si>
  <si>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</si>
  <si>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</si>
  <si>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</si>
  <si>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</si>
  <si>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</si>
  <si>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</si>
  <si>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</si>
  <si>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</si>
  <si>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</si>
  <si>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</si>
  <si>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</si>
  <si>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</si>
  <si>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</si>
  <si>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</si>
  <si>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</si>
  <si>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</si>
  <si>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</si>
  <si>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</si>
  <si>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</si>
  <si>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</si>
  <si>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</si>
  <si>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</si>
  <si>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</si>
  <si>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</si>
  <si>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</si>
  <si>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</si>
  <si>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</si>
  <si>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</si>
  <si>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</si>
  <si>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</si>
  <si>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</si>
  <si>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</si>
  <si>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</si>
  <si>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</si>
  <si>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</si>
  <si>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</si>
  <si>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</si>
  <si>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</si>
  <si>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</si>
  <si>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</si>
  <si>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</si>
  <si>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</si>
  <si>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</si>
  <si>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</si>
  <si>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</si>
  <si>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</si>
  <si>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</si>
  <si>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</si>
  <si>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</si>
  <si>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</si>
  <si>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</si>
  <si>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</si>
  <si>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</si>
  <si>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</si>
  <si>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</si>
  <si>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</si>
  <si>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</si>
  <si>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</si>
  <si>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</si>
  <si>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</si>
  <si>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</si>
  <si>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</si>
  <si>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</si>
  <si>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</si>
  <si>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</si>
  <si>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</si>
  <si>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</si>
  <si>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</si>
  <si>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</si>
  <si>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</si>
  <si>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</si>
  <si>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</si>
  <si>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</si>
  <si>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</si>
  <si>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</si>
  <si>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</si>
  <si>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</si>
  <si>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</si>
  <si>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</si>
  <si>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</si>
  <si>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</si>
  <si>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</si>
  <si>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</si>
  <si>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</si>
  <si>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</si>
  <si>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</si>
  <si>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</si>
  <si>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</si>
  <si>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</si>
  <si>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</si>
  <si>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</si>
  <si>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</si>
  <si>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</si>
  <si>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</si>
  <si>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</si>
  <si>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</si>
  <si>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</si>
  <si>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</si>
  <si>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</si>
  <si>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</si>
  <si>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</si>
  <si>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</si>
  <si>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</si>
  <si>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</si>
  <si>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</si>
  <si>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</si>
  <si>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</si>
  <si>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</si>
  <si>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</si>
  <si>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</si>
  <si>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</si>
  <si>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</si>
  <si>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</si>
  <si>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</si>
  <si>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</si>
  <si>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</si>
  <si>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</si>
  <si>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</si>
  <si>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</si>
  <si>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</si>
  <si>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</si>
  <si>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</si>
  <si>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</si>
  <si>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</si>
  <si>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</si>
  <si>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</si>
  <si>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</si>
  <si>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</si>
  <si>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</si>
  <si>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</si>
  <si>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</si>
  <si>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</si>
  <si>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</si>
  <si>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</si>
  <si>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</si>
  <si>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</si>
  <si>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</si>
  <si>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</si>
  <si>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</si>
  <si>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</si>
  <si>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</si>
  <si>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</si>
  <si>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</si>
  <si>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</si>
  <si>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</si>
  <si>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</si>
  <si>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</si>
  <si>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</si>
  <si>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</si>
  <si>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</si>
  <si>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</si>
  <si>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</si>
  <si>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</si>
  <si>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</si>
  <si>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</si>
  <si>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</si>
  <si>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</si>
  <si>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</si>
  <si>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</si>
  <si>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</si>
  <si>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</si>
  <si>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</si>
  <si>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</si>
  <si>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</si>
  <si>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</si>
  <si>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</si>
  <si>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</si>
  <si>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</si>
  <si>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</si>
  <si>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</si>
  <si>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</si>
  <si>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</si>
  <si>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</si>
  <si>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</si>
  <si>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</si>
  <si>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</si>
  <si>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</si>
  <si>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</si>
  <si>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</si>
  <si>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</si>
  <si>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</si>
  <si>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</si>
  <si>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</si>
  <si>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</si>
  <si>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</si>
  <si>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</si>
  <si>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</si>
  <si>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</si>
  <si>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</si>
  <si>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</si>
  <si>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</si>
  <si>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</si>
  <si>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</si>
  <si>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</si>
  <si>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</si>
  <si>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</si>
  <si>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</si>
  <si>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</si>
  <si>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</si>
  <si>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</si>
  <si>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</si>
  <si>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</si>
  <si>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</si>
  <si>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</si>
  <si>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</si>
  <si>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</si>
  <si>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</si>
  <si>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</si>
  <si>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</si>
  <si>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</si>
  <si>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</si>
  <si>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</si>
  <si>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</si>
  <si>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</si>
  <si>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</si>
  <si>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</si>
  <si>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</si>
  <si>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</si>
  <si>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</si>
  <si>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</si>
  <si>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</si>
  <si>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</si>
  <si>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</si>
  <si>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</si>
  <si>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</si>
  <si>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</si>
  <si>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</si>
  <si>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</si>
  <si>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</si>
  <si>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</si>
  <si>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</si>
  <si>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</si>
  <si>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</si>
  <si>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</si>
  <si>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</si>
  <si>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</si>
  <si>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</si>
  <si>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</si>
  <si>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</si>
  <si>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</si>
  <si>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</si>
  <si>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</si>
  <si>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</si>
  <si>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</si>
  <si>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</si>
  <si>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</si>
  <si>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</si>
  <si>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</si>
  <si>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</si>
  <si>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</si>
  <si>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</si>
  <si>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</si>
  <si>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</si>
  <si>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</si>
  <si>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</si>
  <si>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</si>
  <si>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</si>
  <si>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</si>
  <si>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</si>
  <si>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</si>
  <si>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</si>
  <si>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</si>
  <si>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</si>
  <si>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</si>
  <si>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</si>
  <si>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</si>
  <si>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</si>
  <si>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</si>
  <si>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</si>
  <si>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</si>
  <si>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</si>
  <si>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</si>
  <si>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</si>
  <si>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</si>
  <si>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</si>
  <si>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</si>
  <si>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</si>
  <si>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</si>
  <si>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</si>
  <si>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</si>
  <si>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</si>
  <si>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</si>
  <si>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</si>
  <si>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</si>
  <si>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</si>
  <si>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</si>
  <si>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</si>
  <si>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</si>
  <si>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</si>
  <si>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</si>
  <si>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</si>
  <si>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</si>
  <si>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</si>
  <si>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</si>
  <si>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</si>
  <si>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</si>
  <si>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</si>
  <si>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</si>
  <si>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</si>
  <si>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</si>
  <si>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</si>
  <si>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</si>
  <si>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</si>
  <si>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</si>
  <si>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</si>
  <si>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</si>
  <si>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</si>
  <si>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</si>
  <si>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</si>
  <si>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</si>
  <si>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</si>
  <si>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</si>
  <si>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</si>
  <si>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</si>
  <si>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</si>
  <si>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</si>
  <si>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</si>
  <si>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</si>
  <si>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</si>
  <si>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</si>
  <si>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</si>
  <si>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</si>
  <si>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</si>
  <si>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</si>
  <si>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</si>
  <si>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</si>
  <si>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</si>
  <si>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</si>
  <si>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</si>
  <si>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</si>
  <si>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</si>
  <si>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</si>
  <si>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</si>
  <si>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</si>
  <si>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</si>
  <si>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</si>
  <si>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</si>
  <si>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</si>
  <si>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</si>
  <si>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</si>
  <si>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</si>
  <si>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</si>
  <si>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</si>
  <si>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</si>
  <si>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</si>
  <si>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</si>
  <si>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</si>
  <si>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</si>
  <si>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</si>
  <si>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</si>
  <si>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</si>
  <si>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</si>
  <si>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</si>
  <si>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</si>
  <si>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</si>
  <si>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</si>
  <si>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</si>
  <si>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</si>
  <si>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</si>
  <si>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</si>
  <si>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</si>
  <si>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</si>
  <si>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</si>
  <si>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</si>
  <si>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</si>
  <si>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</si>
  <si>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</si>
  <si>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</si>
  <si>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</si>
  <si>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</si>
  <si>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</si>
  <si>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</si>
  <si>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</si>
  <si>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</si>
  <si>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</si>
  <si>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</si>
  <si>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</si>
  <si>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</si>
  <si>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</si>
  <si>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</si>
  <si>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</si>
  <si>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</si>
  <si>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</si>
  <si>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</si>
  <si>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</si>
  <si>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</si>
  <si>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</si>
  <si>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</si>
  <si>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</si>
  <si>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</si>
  <si>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</si>
  <si>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</si>
  <si>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</si>
  <si>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</si>
  <si>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</si>
  <si>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</si>
  <si>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</si>
  <si>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</si>
  <si>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</si>
  <si>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</si>
  <si>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</si>
  <si>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</si>
  <si>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</si>
  <si>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</si>
  <si>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</si>
  <si>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</si>
  <si>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</si>
  <si>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</si>
  <si>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</si>
  <si>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</si>
  <si>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</si>
  <si>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</si>
  <si>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</si>
  <si>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</si>
  <si>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</si>
  <si>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</si>
  <si>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</si>
  <si>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</si>
  <si>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</si>
  <si>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</si>
  <si>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</si>
  <si>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</si>
  <si>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</si>
  <si>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</si>
  <si>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</si>
  <si>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</si>
  <si>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</si>
  <si>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</si>
  <si>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</si>
  <si>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</si>
  <si>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</si>
  <si>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</si>
  <si>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</si>
  <si>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</si>
  <si>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</si>
  <si>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</si>
  <si>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</si>
  <si>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</si>
  <si>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</si>
  <si>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</si>
  <si>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</si>
  <si>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</si>
  <si>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</si>
  <si>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</si>
  <si>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</si>
  <si>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</si>
  <si>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</si>
  <si>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</si>
  <si>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</si>
  <si>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</si>
  <si>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</si>
  <si>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</si>
  <si>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</si>
  <si>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</si>
  <si>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</si>
  <si>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</si>
  <si>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</si>
  <si>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</si>
  <si>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</si>
  <si>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</si>
  <si>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</si>
  <si>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</si>
  <si>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</si>
  <si>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</si>
  <si>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</si>
  <si>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</si>
  <si>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</si>
  <si>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</si>
  <si>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</si>
  <si>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</si>
  <si>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</si>
  <si>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</si>
  <si>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</si>
  <si>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</si>
  <si>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</si>
  <si>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</si>
  <si>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</si>
  <si>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</si>
  <si>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</si>
  <si>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</si>
  <si>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</si>
  <si>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</si>
  <si>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</si>
  <si>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</si>
  <si>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</si>
  <si>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</si>
  <si>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</si>
  <si>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</si>
  <si>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</si>
  <si>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</si>
  <si>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</si>
  <si>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</si>
  <si>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</si>
  <si>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</si>
  <si>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</si>
  <si>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</si>
  <si>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</si>
  <si>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</si>
  <si>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</si>
  <si>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</si>
  <si>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</si>
  <si>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</si>
  <si>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</si>
  <si>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</si>
  <si>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</si>
  <si>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</si>
  <si>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</si>
  <si>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</si>
  <si>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</si>
  <si>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</si>
  <si>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</si>
  <si>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</si>
  <si>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</si>
  <si>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</si>
  <si>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</si>
  <si>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</si>
  <si>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</si>
  <si>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</si>
  <si>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</si>
  <si>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</si>
  <si>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</si>
  <si>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</si>
  <si>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</si>
  <si>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</si>
  <si>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</si>
  <si>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</si>
  <si>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</si>
  <si>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</si>
  <si>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</si>
  <si>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</si>
  <si>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</si>
  <si>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</si>
  <si>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</si>
  <si>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</si>
  <si>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</si>
  <si>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</si>
  <si>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</si>
  <si>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</si>
  <si>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</si>
  <si>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</si>
  <si>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</si>
  <si>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</si>
  <si>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</si>
  <si>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</si>
  <si>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</si>
  <si>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</si>
  <si>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</si>
  <si>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</si>
  <si>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</si>
  <si>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</si>
  <si>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</si>
  <si>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</si>
  <si>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</si>
  <si>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</si>
  <si>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</si>
  <si>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</si>
  <si>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</si>
  <si>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</si>
  <si>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</si>
  <si>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</si>
  <si>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</si>
  <si>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</si>
  <si>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</si>
  <si>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</si>
  <si>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</si>
  <si>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</si>
  <si>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</si>
  <si>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</si>
  <si>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</si>
  <si>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</si>
  <si>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</si>
  <si>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</si>
  <si>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</si>
  <si>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</si>
  <si>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</si>
  <si>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</si>
  <si>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</si>
  <si>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</si>
  <si>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</si>
  <si>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</si>
  <si>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</si>
  <si>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</si>
  <si>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</si>
  <si>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</si>
  <si>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</si>
  <si>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</si>
  <si>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</si>
  <si>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</si>
  <si>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</si>
  <si>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</si>
  <si>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</si>
  <si>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</si>
  <si>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</si>
  <si>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</si>
  <si>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</si>
  <si>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</si>
  <si>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</si>
  <si>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</si>
  <si>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</si>
  <si>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</si>
  <si>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</si>
  <si>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</si>
  <si>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</si>
  <si>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</si>
  <si>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</si>
  <si>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</si>
  <si>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</si>
  <si>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</si>
  <si>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</si>
  <si>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</si>
  <si>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</si>
  <si>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</si>
  <si>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</si>
  <si>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</si>
  <si>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</si>
  <si>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</si>
  <si>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</si>
  <si>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</si>
  <si>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</si>
  <si>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</si>
  <si>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</si>
  <si>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</si>
  <si>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</si>
  <si>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</si>
  <si>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</si>
  <si>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</si>
  <si>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</si>
  <si>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</si>
  <si>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</si>
  <si>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</si>
  <si>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</si>
  <si>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</si>
  <si>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</si>
  <si>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</si>
  <si>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</si>
  <si>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</si>
  <si>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</si>
  <si>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</si>
  <si>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</si>
  <si>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</si>
  <si>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</si>
  <si>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</si>
  <si>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</si>
  <si>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</si>
  <si>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</si>
  <si>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</si>
  <si>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</si>
  <si>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</si>
  <si>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</si>
  <si>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</si>
  <si>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</si>
  <si>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</si>
  <si>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</si>
  <si>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</si>
  <si>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</si>
  <si>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</si>
  <si>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</si>
  <si>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</si>
  <si>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</si>
  <si>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</si>
  <si>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</si>
  <si>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</si>
  <si>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</si>
  <si>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</si>
  <si>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</si>
  <si>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</si>
  <si>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</si>
  <si>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</si>
  <si>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</si>
  <si>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</si>
  <si>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</si>
  <si>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</si>
  <si>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</si>
  <si>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</si>
  <si>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</si>
  <si>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</si>
  <si>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</si>
  <si>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</si>
  <si>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</si>
  <si>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</si>
  <si>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</si>
  <si>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</si>
  <si>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</si>
  <si>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</si>
  <si>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</si>
  <si>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</si>
  <si>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</si>
  <si>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</si>
  <si>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</si>
  <si>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</si>
  <si>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</si>
  <si>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</si>
  <si>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</si>
  <si>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</si>
  <si>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</si>
  <si>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</si>
  <si>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</si>
  <si>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</si>
  <si>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</si>
  <si>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</si>
  <si>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</si>
  <si>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</si>
  <si>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</si>
  <si>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</si>
  <si>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</si>
  <si>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</si>
  <si>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</si>
  <si>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</si>
  <si>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</si>
  <si>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</si>
  <si>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</si>
  <si>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</si>
  <si>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</si>
  <si>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</si>
  <si>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</si>
  <si>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</si>
  <si>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</si>
  <si>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</si>
  <si>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</si>
  <si>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</si>
  <si>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</si>
  <si>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</si>
  <si>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</si>
  <si>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</si>
  <si>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</si>
  <si>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</si>
  <si>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</si>
  <si>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</si>
  <si>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</si>
  <si>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</si>
  <si>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</si>
  <si>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</si>
  <si>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</si>
  <si>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</si>
  <si>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</si>
  <si>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</si>
  <si>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</si>
  <si>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</si>
  <si>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</si>
  <si>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</si>
  <si>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</si>
  <si>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</si>
  <si>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</si>
  <si>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</si>
  <si>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</si>
  <si>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</si>
  <si>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</si>
  <si>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</si>
  <si>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</si>
  <si>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</si>
  <si>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</si>
  <si>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</si>
  <si>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</si>
  <si>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</si>
  <si>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</si>
  <si>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</si>
  <si>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</si>
  <si>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</si>
  <si>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</si>
  <si>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</si>
  <si>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</si>
  <si>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</si>
  <si>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</si>
  <si>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</si>
  <si>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</si>
  <si>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</si>
  <si>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</si>
  <si>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</si>
  <si>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</si>
  <si>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</si>
  <si>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</si>
  <si>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</si>
  <si>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</si>
  <si>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</si>
  <si>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</si>
  <si>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</si>
  <si>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</si>
  <si>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</si>
  <si>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</si>
  <si>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</si>
  <si>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</si>
  <si>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</si>
  <si>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</si>
  <si>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</si>
  <si>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</si>
  <si>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</si>
  <si>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</si>
  <si>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</si>
  <si>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</si>
  <si>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</si>
  <si>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</si>
  <si>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</si>
  <si>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</si>
  <si>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</si>
  <si>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</si>
  <si>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</si>
  <si>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</si>
  <si>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</si>
  <si>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</si>
  <si>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</si>
  <si>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</si>
  <si>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</si>
  <si>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</si>
  <si>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</si>
  <si>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</si>
  <si>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</si>
  <si>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</si>
  <si>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</si>
  <si>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</si>
  <si>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</si>
  <si>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</si>
  <si>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</si>
  <si>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</si>
  <si>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</si>
  <si>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</si>
  <si>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</si>
  <si>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</si>
  <si>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</si>
  <si>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</si>
  <si>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</si>
  <si>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</si>
  <si>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</si>
  <si>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</si>
  <si>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</si>
  <si>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</si>
  <si>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</si>
  <si>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</si>
  <si>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</si>
  <si>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</si>
  <si>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</si>
  <si>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</si>
  <si>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</si>
  <si>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</si>
  <si>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</si>
  <si>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</si>
  <si>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</si>
  <si>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</si>
  <si>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</si>
  <si>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</si>
  <si>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</si>
  <si>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</si>
  <si>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</si>
  <si>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</si>
  <si>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</si>
  <si>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</si>
  <si>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</si>
  <si>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</si>
  <si>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</si>
  <si>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</si>
  <si>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</si>
  <si>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</si>
  <si>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</si>
  <si>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</si>
  <si>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</si>
  <si>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</si>
  <si>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</si>
  <si>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</si>
  <si>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</si>
  <si>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</si>
  <si>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</si>
  <si>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</si>
  <si>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</si>
  <si>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</si>
  <si>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</si>
  <si>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</si>
  <si>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</si>
  <si>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</si>
  <si>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</si>
  <si>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</si>
  <si>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</si>
  <si>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</si>
  <si>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</si>
  <si>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</si>
  <si>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</si>
  <si>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</si>
  <si>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</si>
  <si>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</si>
  <si>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</si>
  <si>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</si>
  <si>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</si>
  <si>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</si>
  <si>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</si>
  <si>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</si>
  <si>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</si>
  <si>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</si>
  <si>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</si>
  <si>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</si>
  <si>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</si>
  <si>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</si>
  <si>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</si>
  <si>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</si>
  <si>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</si>
  <si>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</si>
  <si>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</si>
  <si>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</si>
  <si>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</si>
  <si>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</si>
  <si>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</si>
  <si>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</si>
  <si>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</si>
  <si>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</si>
  <si>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</si>
  <si>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</si>
  <si>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</si>
  <si>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</si>
  <si>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</si>
  <si>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</si>
  <si>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</si>
  <si>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</si>
  <si>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</si>
  <si>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</si>
  <si>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</si>
  <si>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</si>
  <si>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</si>
  <si>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</si>
  <si>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</si>
  <si>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</si>
  <si>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</si>
  <si>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</si>
  <si>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</si>
  <si>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</si>
  <si>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</si>
  <si>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</si>
  <si>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</si>
  <si>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</si>
  <si>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</si>
  <si>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</si>
  <si>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</si>
  <si>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</si>
  <si>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</si>
  <si>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</si>
  <si>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</si>
  <si>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</si>
  <si>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</si>
  <si>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</si>
  <si>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</si>
  <si>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</si>
  <si>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</si>
  <si>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</si>
  <si>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</si>
  <si>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</si>
  <si>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</si>
  <si>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</si>
  <si>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</si>
  <si>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</si>
  <si>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</si>
  <si>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</si>
  <si>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</si>
  <si>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</si>
  <si>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</si>
  <si>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</si>
  <si>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</si>
  <si>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</si>
  <si>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</si>
  <si>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</si>
  <si>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</si>
  <si>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</si>
  <si>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</si>
  <si>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</si>
  <si>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</si>
  <si>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</si>
  <si>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</si>
  <si>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</si>
  <si>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</si>
  <si>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</si>
  <si>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</si>
  <si>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</si>
  <si>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</si>
  <si>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</si>
  <si>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</si>
  <si>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</si>
  <si>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</si>
  <si>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</si>
  <si>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</si>
  <si>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</si>
  <si>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</si>
  <si>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</si>
  <si>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</si>
  <si>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</si>
  <si>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</si>
  <si>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</si>
  <si>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</si>
  <si>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</si>
  <si>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</si>
  <si>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</si>
  <si>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</si>
  <si>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</si>
  <si>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</si>
  <si>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</si>
  <si>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</si>
  <si>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</si>
  <si>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</si>
  <si>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</si>
  <si>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</si>
  <si>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</si>
  <si>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</si>
  <si>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</si>
  <si>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</si>
  <si>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</si>
  <si>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</si>
  <si>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</si>
  <si>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</si>
  <si>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</si>
  <si>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</si>
  <si>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</si>
  <si>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</si>
  <si>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</si>
  <si>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</si>
  <si>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</si>
  <si>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</si>
  <si>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</si>
  <si>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</si>
  <si>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</si>
  <si>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</si>
  <si>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</si>
  <si>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</si>
  <si>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</si>
  <si>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</si>
  <si>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</si>
  <si>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</si>
  <si>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</si>
  <si>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</si>
  <si>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</si>
  <si>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</si>
  <si>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</si>
  <si>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</si>
  <si>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</si>
  <si>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</si>
  <si>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</si>
  <si>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</si>
  <si>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</si>
  <si>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</si>
  <si>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</si>
  <si>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</si>
  <si>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</si>
  <si>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</si>
  <si>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</si>
  <si>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</si>
  <si>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</si>
  <si>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</si>
  <si>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</si>
  <si>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</si>
  <si>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</si>
  <si>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</si>
  <si>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</si>
  <si>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</si>
  <si>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</si>
  <si>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</si>
  <si>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</si>
  <si>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</si>
  <si>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</si>
  <si>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</si>
  <si>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</si>
  <si>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</si>
  <si>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</si>
  <si>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</si>
  <si>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</si>
  <si>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</si>
  <si>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</si>
  <si>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</si>
  <si>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</si>
  <si>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</si>
  <si>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</si>
  <si>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</si>
  <si>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</si>
  <si>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</si>
  <si>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</si>
  <si>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</si>
  <si>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</si>
  <si>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</si>
  <si>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</si>
  <si>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</si>
  <si>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</si>
  <si>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</si>
  <si>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</si>
  <si>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</si>
  <si>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</si>
  <si>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</si>
  <si>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</si>
  <si>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</si>
  <si>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</si>
  <si>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</si>
  <si>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</si>
  <si>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</si>
  <si>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</si>
  <si>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</si>
  <si>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</si>
  <si>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</si>
  <si>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</si>
  <si>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</si>
  <si>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</si>
  <si>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</si>
  <si>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</si>
  <si>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</si>
  <si>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</si>
  <si>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</si>
  <si>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</si>
  <si>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</si>
  <si>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</si>
  <si>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</si>
  <si>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</si>
  <si>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</si>
  <si>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</si>
  <si>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</si>
  <si>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</si>
  <si>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</si>
  <si>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</si>
  <si>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</si>
  <si>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</si>
  <si>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</si>
  <si>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</si>
  <si>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</si>
  <si>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</si>
  <si>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</si>
  <si>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</si>
  <si>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</si>
  <si>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</si>
  <si>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</si>
  <si>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</si>
  <si>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</si>
  <si>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</si>
  <si>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</si>
  <si>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</si>
  <si>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</si>
  <si>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</si>
  <si>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</si>
  <si>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</si>
  <si>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</si>
  <si>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</si>
  <si>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</si>
  <si>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</si>
  <si>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</si>
  <si>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</si>
  <si>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</si>
  <si>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</si>
  <si>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</si>
  <si>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</si>
  <si>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</si>
  <si>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</si>
  <si>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</si>
  <si>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</si>
  <si>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</si>
  <si>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</si>
  <si>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</si>
  <si>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</si>
  <si>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</si>
  <si>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</si>
  <si>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</si>
  <si>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</si>
  <si>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</si>
  <si>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</si>
  <si>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</si>
  <si>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</si>
  <si>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</si>
  <si>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</si>
  <si>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</si>
  <si>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</si>
  <si>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</si>
  <si>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</si>
  <si>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</si>
  <si>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</si>
  <si>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</si>
  <si>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</si>
  <si>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</si>
  <si>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</si>
  <si>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</si>
  <si>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</si>
  <si>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</si>
  <si>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</si>
  <si>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</si>
  <si>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</si>
  <si>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</si>
  <si>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</si>
  <si>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</si>
  <si>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</si>
  <si>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</si>
  <si>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</si>
  <si>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</si>
  <si>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</si>
  <si>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</si>
  <si>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</si>
  <si>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</si>
  <si>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</si>
  <si>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</si>
  <si>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</si>
  <si>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</si>
  <si>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</si>
  <si>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</si>
  <si>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</si>
  <si>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</si>
  <si>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</si>
  <si>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</si>
  <si>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</si>
  <si>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</si>
  <si>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</si>
  <si>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</si>
  <si>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</si>
  <si>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</si>
  <si>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</si>
  <si>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</si>
  <si>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</si>
  <si>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</si>
  <si>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</si>
  <si>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</si>
  <si>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</si>
  <si>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</si>
  <si>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</si>
  <si>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</si>
  <si>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</si>
  <si>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</si>
  <si>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</si>
  <si>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</si>
  <si>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</si>
  <si>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</si>
  <si>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</si>
  <si>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</si>
  <si>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</si>
  <si>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</si>
  <si>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</si>
  <si>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</si>
  <si>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</si>
  <si>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</si>
  <si>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</si>
  <si>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</si>
  <si>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</si>
  <si>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</si>
  <si>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</si>
  <si>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</si>
  <si>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</si>
  <si>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</si>
  <si>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</si>
  <si>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</si>
  <si>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</si>
  <si>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</si>
  <si>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</si>
  <si>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</si>
  <si>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</si>
  <si>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</si>
  <si>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</si>
  <si>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</si>
  <si>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</si>
  <si>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</si>
  <si>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</si>
  <si>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</si>
  <si>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</si>
  <si>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</si>
  <si>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</si>
  <si>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</si>
  <si>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</si>
  <si>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</si>
  <si>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</si>
  <si>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</si>
  <si>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</si>
  <si>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</si>
  <si>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</si>
  <si>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</si>
  <si>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</si>
  <si>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</si>
  <si>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</si>
  <si>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</si>
  <si>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</si>
  <si>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</si>
  <si>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</si>
  <si>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</si>
  <si>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</si>
  <si>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</si>
  <si>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</si>
  <si>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</si>
  <si>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</si>
  <si>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</si>
  <si>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</si>
  <si>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</si>
  <si>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</si>
  <si>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</si>
  <si>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</si>
  <si>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</si>
  <si>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</si>
  <si>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</si>
  <si>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</si>
  <si>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</si>
  <si>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</si>
  <si>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</si>
  <si>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</si>
  <si>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</si>
  <si>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</si>
  <si>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</si>
  <si>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</si>
  <si>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</si>
  <si>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</si>
  <si>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</si>
  <si>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</si>
  <si>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</si>
  <si>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</si>
  <si>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</si>
  <si>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</si>
  <si>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</si>
  <si>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</si>
  <si>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</si>
  <si>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</si>
  <si>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</si>
  <si>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</si>
  <si>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</si>
  <si>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</si>
  <si>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</si>
  <si>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</si>
  <si>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</si>
  <si>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</si>
  <si>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</si>
  <si>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</si>
  <si>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</si>
  <si>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</si>
  <si>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</si>
  <si>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</si>
  <si>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</si>
  <si>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</si>
  <si>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</si>
  <si>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</si>
  <si>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</si>
  <si>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</si>
  <si>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</si>
  <si>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</si>
  <si>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</si>
  <si>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</si>
  <si>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</si>
  <si>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</si>
  <si>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</si>
  <si>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</si>
  <si>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</si>
  <si>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</si>
  <si>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</si>
  <si>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</si>
  <si>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</si>
  <si>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</si>
  <si>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</si>
  <si>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</si>
  <si>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</si>
  <si>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</si>
  <si>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</si>
  <si>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</si>
  <si>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</si>
  <si>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</si>
  <si>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</si>
  <si>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</si>
  <si>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</si>
  <si>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</si>
  <si>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</si>
  <si>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</si>
  <si>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</si>
  <si>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</si>
  <si>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</si>
  <si>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</si>
  <si>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</si>
  <si>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</si>
  <si>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</si>
  <si>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</si>
  <si>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</si>
  <si>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</si>
  <si>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</si>
  <si>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</si>
  <si>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</si>
  <si>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</si>
  <si>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</si>
  <si>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</si>
  <si>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</si>
  <si>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</si>
  <si>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</si>
  <si>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</si>
  <si>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</si>
  <si>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</si>
  <si>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</si>
  <si>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</si>
  <si>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</si>
  <si>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</si>
  <si>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</si>
  <si>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</si>
  <si>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</si>
  <si>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</si>
  <si>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</si>
  <si>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</si>
  <si>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</si>
  <si>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</si>
  <si>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</si>
  <si>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</si>
  <si>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</si>
  <si>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</si>
  <si>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</si>
  <si>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</si>
  <si>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</si>
  <si>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</si>
  <si>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</si>
  <si>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</si>
  <si>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</si>
  <si>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</si>
  <si>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</si>
  <si>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</si>
  <si>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</si>
  <si>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</si>
  <si>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</si>
  <si>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</si>
  <si>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</si>
  <si>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</si>
  <si>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</si>
  <si>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</si>
  <si>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</si>
  <si>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</si>
  <si>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</si>
  <si>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</si>
  <si>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</si>
  <si>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</si>
  <si>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</si>
  <si>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</si>
  <si>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</si>
  <si>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</si>
  <si>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</si>
  <si>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</si>
  <si>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</si>
  <si>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</si>
  <si>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</si>
  <si>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</si>
  <si>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</si>
  <si>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</si>
  <si>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</si>
  <si>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</si>
  <si>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</si>
  <si>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</si>
  <si>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</si>
  <si>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</si>
  <si>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</si>
  <si>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</si>
  <si>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</si>
  <si>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</si>
  <si>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</si>
  <si>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</si>
  <si>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</si>
  <si>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</si>
  <si>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</si>
  <si>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</si>
  <si>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</si>
  <si>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</si>
  <si>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</si>
  <si>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</si>
  <si>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</si>
  <si>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</si>
  <si>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</si>
  <si>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</si>
  <si>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</si>
  <si>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</si>
  <si>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</si>
  <si>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</si>
  <si>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</si>
  <si>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</si>
  <si>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</si>
  <si>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</si>
  <si>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</si>
  <si>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</si>
  <si>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</si>
  <si>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</si>
  <si>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</si>
  <si>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</si>
  <si>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</si>
  <si>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</si>
  <si>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</si>
  <si>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</si>
  <si>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</si>
  <si>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</si>
  <si>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</si>
  <si>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</si>
  <si>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</si>
  <si>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</si>
  <si>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</si>
  <si>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</si>
  <si>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</si>
  <si>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</si>
  <si>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</si>
  <si>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</si>
  <si>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</si>
  <si>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</si>
  <si>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</si>
  <si>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</si>
  <si>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</si>
  <si>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</si>
  <si>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</si>
  <si>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</si>
  <si>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</si>
  <si>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</si>
  <si>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</si>
  <si>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</si>
  <si>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</si>
  <si>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</si>
  <si>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</si>
  <si>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</si>
  <si>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</si>
  <si>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</si>
  <si>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</si>
  <si>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</si>
  <si>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</si>
  <si>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</si>
  <si>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</si>
  <si>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</si>
  <si>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</si>
  <si>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</si>
  <si>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</si>
  <si>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</si>
  <si>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</si>
  <si>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</si>
  <si>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</si>
  <si>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</si>
  <si>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</si>
  <si>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</si>
  <si>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</si>
  <si>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</si>
  <si>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</si>
  <si>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</si>
  <si>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</si>
  <si>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</si>
  <si>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</si>
  <si>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</si>
  <si>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</si>
  <si>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</si>
  <si>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</si>
  <si>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</si>
  <si>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</si>
  <si>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</si>
  <si>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</si>
  <si>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</si>
  <si>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</si>
  <si>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</si>
  <si>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</si>
  <si>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</si>
  <si>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</si>
  <si>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</si>
  <si>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</si>
  <si>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</si>
  <si>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</si>
  <si>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</si>
  <si>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</si>
  <si>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</si>
  <si>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</si>
  <si>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</si>
  <si>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</si>
  <si>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</si>
  <si>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</si>
  <si>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</si>
  <si>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</si>
  <si>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</si>
  <si>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</si>
  <si>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</si>
  <si>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</si>
  <si>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</si>
  <si>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</si>
  <si>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</si>
  <si>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</si>
  <si>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</si>
  <si>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</si>
  <si>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</si>
  <si>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</si>
  <si>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</si>
  <si>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</si>
  <si>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</si>
  <si>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</si>
  <si>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</si>
  <si>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</si>
  <si>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</si>
  <si>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</si>
  <si>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</si>
  <si>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</si>
  <si>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</si>
  <si>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</si>
  <si>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</si>
  <si>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</si>
  <si>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</si>
  <si>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</si>
  <si>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</si>
  <si>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</si>
  <si>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</si>
  <si>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</si>
  <si>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</si>
  <si>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</si>
  <si>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</si>
  <si>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</si>
  <si>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</si>
  <si>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</si>
  <si>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</si>
  <si>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</si>
  <si>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</si>
  <si>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</si>
  <si>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</si>
  <si>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</si>
  <si>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</si>
  <si>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</si>
  <si>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</si>
  <si>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</si>
  <si>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</si>
  <si>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</si>
  <si>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</si>
  <si>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</si>
  <si>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</si>
  <si>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</si>
  <si>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</si>
  <si>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</si>
  <si>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</si>
  <si>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</si>
  <si>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</si>
  <si>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</si>
  <si>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</si>
  <si>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</si>
  <si>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</si>
  <si>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</si>
  <si>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</si>
  <si>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</si>
  <si>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</si>
  <si>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</si>
  <si>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</si>
  <si>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</si>
  <si>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</si>
  <si>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</si>
  <si>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</si>
  <si>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</si>
  <si>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</si>
  <si>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</si>
  <si>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</si>
  <si>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</si>
  <si>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</si>
  <si>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</si>
  <si>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</si>
  <si>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</si>
  <si>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</si>
  <si>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</si>
  <si>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</si>
  <si>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</si>
  <si>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</si>
  <si>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</si>
  <si>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</si>
  <si>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</si>
  <si>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</si>
  <si>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</si>
  <si>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</si>
  <si>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</si>
  <si>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</si>
  <si>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</si>
  <si>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</si>
  <si>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</si>
  <si>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</si>
  <si>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</si>
  <si>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</si>
  <si>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</si>
  <si>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</si>
  <si>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</si>
  <si>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</si>
  <si>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</si>
  <si>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</si>
  <si>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</si>
  <si>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</si>
  <si>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</si>
  <si>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</si>
  <si>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</si>
  <si>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</si>
  <si>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</si>
  <si>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</si>
  <si>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</si>
  <si>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</si>
  <si>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</si>
  <si>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</si>
  <si>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</si>
  <si>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</si>
  <si>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</si>
  <si>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</si>
  <si>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</si>
  <si>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</si>
  <si>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</si>
  <si>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</si>
  <si>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</si>
  <si>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</si>
  <si>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</si>
  <si>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</si>
  <si>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</si>
  <si>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</si>
  <si>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</si>
  <si>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</si>
  <si>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</si>
  <si>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</si>
  <si>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</si>
  <si>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</si>
  <si>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</si>
  <si>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</si>
  <si>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</si>
  <si>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</si>
  <si>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</si>
  <si>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</si>
  <si>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</si>
  <si>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</si>
  <si>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</si>
  <si>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</si>
  <si>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</si>
  <si>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</si>
  <si>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</si>
  <si>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</si>
  <si>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</si>
  <si>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</si>
  <si>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</si>
  <si>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</si>
  <si>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</si>
  <si>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</si>
  <si>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</si>
  <si>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</si>
  <si>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</si>
  <si>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</si>
  <si>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</si>
  <si>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</si>
  <si>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</si>
  <si>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</si>
  <si>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</si>
  <si>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</si>
  <si>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</si>
  <si>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</si>
  <si>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</si>
  <si>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</si>
  <si>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</si>
  <si>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</si>
  <si>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</si>
  <si>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</si>
  <si>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</si>
  <si>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</si>
  <si>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</si>
  <si>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</si>
  <si>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</si>
  <si>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</si>
  <si>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</si>
  <si>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</si>
  <si>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</si>
  <si>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</si>
  <si>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</si>
  <si>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</si>
  <si>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</si>
  <si>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</si>
  <si>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</si>
  <si>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</si>
  <si>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</si>
  <si>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</si>
  <si>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</si>
  <si>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</si>
  <si>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</si>
  <si>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</si>
  <si>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</si>
  <si>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</si>
  <si>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</si>
  <si>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</si>
  <si>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</si>
  <si>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</si>
  <si>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</si>
  <si>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</si>
  <si>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</si>
  <si>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</si>
  <si>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</si>
  <si>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</si>
  <si>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</si>
  <si>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</si>
  <si>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</si>
  <si>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</si>
  <si>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</si>
  <si>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</si>
  <si>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</si>
  <si>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</si>
  <si>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</si>
  <si>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</si>
  <si>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</si>
  <si>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</si>
  <si>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</si>
  <si>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</si>
  <si>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</si>
  <si>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</si>
  <si>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</si>
  <si>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</si>
  <si>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</si>
  <si>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</si>
  <si>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</si>
  <si>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</si>
  <si>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</si>
  <si>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</si>
  <si>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</si>
  <si>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</si>
  <si>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</si>
  <si>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</si>
  <si>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</si>
  <si>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</si>
  <si>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</si>
  <si>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</si>
  <si>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</si>
  <si>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</si>
  <si>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</si>
  <si>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</si>
  <si>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</si>
  <si>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</si>
  <si>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</si>
  <si>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</si>
  <si>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</si>
  <si>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</si>
  <si>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</si>
  <si>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</si>
  <si>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</si>
  <si>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</si>
  <si>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</si>
  <si>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</si>
  <si>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</si>
  <si>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</si>
  <si>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</si>
  <si>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</si>
  <si>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</si>
  <si>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</si>
  <si>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</si>
  <si>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</si>
  <si>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</si>
  <si>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</si>
  <si>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</si>
  <si>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</si>
  <si>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</si>
  <si>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</si>
  <si>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</si>
  <si>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</si>
  <si>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</si>
  <si>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</si>
  <si>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</si>
  <si>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</si>
  <si>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</si>
  <si>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</si>
  <si>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</si>
  <si>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</si>
  <si>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</si>
  <si>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</si>
  <si>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</si>
  <si>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</si>
  <si>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</si>
  <si>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</si>
  <si>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</si>
  <si>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</si>
  <si>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</si>
  <si>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</si>
  <si>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</si>
  <si>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</si>
  <si>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</si>
  <si>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</si>
  <si>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</si>
  <si>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</si>
  <si>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</si>
  <si>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</si>
  <si>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</si>
  <si>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</si>
  <si>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</si>
  <si>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</si>
  <si>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</si>
  <si>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</si>
  <si>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</si>
  <si>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</si>
  <si>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</si>
  <si>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</si>
  <si>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</si>
  <si>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</si>
  <si>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</si>
  <si>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</si>
  <si>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</si>
  <si>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</si>
  <si>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</si>
  <si>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</si>
  <si>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</si>
  <si>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</si>
  <si>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</si>
  <si>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</si>
  <si>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</si>
  <si>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</si>
  <si>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</si>
  <si>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</si>
  <si>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</si>
  <si>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</si>
  <si>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</si>
  <si>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</si>
  <si>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</si>
  <si>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</si>
  <si>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</si>
  <si>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</si>
  <si>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</si>
  <si>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</si>
  <si>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</si>
  <si>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</si>
  <si>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</si>
  <si>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</si>
  <si>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</si>
  <si>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</si>
  <si>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</si>
  <si>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</si>
  <si>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</si>
  <si>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</si>
  <si>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</si>
  <si>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</si>
  <si>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</si>
  <si>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</si>
  <si>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</si>
  <si>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</si>
  <si>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</si>
  <si>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</si>
  <si>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</si>
  <si>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</si>
  <si>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</si>
  <si>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</si>
  <si>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</si>
  <si>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</si>
  <si>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</si>
  <si>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</si>
  <si>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</si>
  <si>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</si>
  <si>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</si>
  <si>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</si>
  <si>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</si>
  <si>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</si>
  <si>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</si>
  <si>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</si>
  <si>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</si>
  <si>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</si>
  <si>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</si>
  <si>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</si>
  <si>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</si>
  <si>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</si>
  <si>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</si>
  <si>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</si>
  <si>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</si>
  <si>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</si>
  <si>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</si>
  <si>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</si>
  <si>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</si>
  <si>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</si>
  <si>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</si>
  <si>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</si>
  <si>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</si>
  <si>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</si>
  <si>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</si>
  <si>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</si>
  <si>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</si>
  <si>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</si>
  <si>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</si>
  <si>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</si>
  <si>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</si>
  <si>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</si>
  <si>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</si>
  <si>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</si>
  <si>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</si>
  <si>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</si>
  <si>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</si>
  <si>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</si>
  <si>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</si>
  <si>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</si>
  <si>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</si>
  <si>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</si>
  <si>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</si>
  <si>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</si>
  <si>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</si>
  <si>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</si>
  <si>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</si>
  <si>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</si>
  <si>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</si>
  <si>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</si>
  <si>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</si>
  <si>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</si>
  <si>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</si>
  <si>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</si>
  <si>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</si>
  <si>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</si>
  <si>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</si>
  <si>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</si>
  <si>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</si>
  <si>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</si>
  <si>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</si>
  <si>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</si>
  <si>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</si>
  <si>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</si>
  <si>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</si>
  <si>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</si>
  <si>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</si>
  <si>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</si>
  <si>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</si>
  <si>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</si>
  <si>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</si>
  <si>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</si>
  <si>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</si>
  <si>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</si>
  <si>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</si>
  <si>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</si>
  <si>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</si>
  <si>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</si>
  <si>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</si>
  <si>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</si>
  <si>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</si>
  <si>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</si>
  <si>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</si>
  <si>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</si>
  <si>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</si>
  <si>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</si>
  <si>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</si>
  <si>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</si>
  <si>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</si>
  <si>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</si>
  <si>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</si>
  <si>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</si>
  <si>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</si>
  <si>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</si>
  <si>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</si>
  <si>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</si>
  <si>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</si>
  <si>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</si>
  <si>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</si>
  <si>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</si>
  <si>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</si>
  <si>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</si>
  <si>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</si>
  <si>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</si>
  <si>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</si>
  <si>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</si>
  <si>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</si>
  <si>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</si>
  <si>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</si>
  <si>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</si>
  <si>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</si>
  <si>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</si>
  <si>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</si>
  <si>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</si>
  <si>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</si>
  <si>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</si>
  <si>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</si>
  <si>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</si>
  <si>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</si>
  <si>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</si>
  <si>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</si>
  <si>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</si>
  <si>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</si>
  <si>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</si>
  <si>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</si>
  <si>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</si>
  <si>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</si>
  <si>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</si>
  <si>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</si>
  <si>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</si>
  <si>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</si>
  <si>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</si>
  <si>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</si>
  <si>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</si>
  <si>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</si>
  <si>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</si>
  <si>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</si>
  <si>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</si>
  <si>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</si>
  <si>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</si>
  <si>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</si>
  <si>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</si>
  <si>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</si>
  <si>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</si>
  <si>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</si>
  <si>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</si>
  <si>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</si>
  <si>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</si>
  <si>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</si>
  <si>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</si>
  <si>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</si>
  <si>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</si>
  <si>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</si>
  <si>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</si>
  <si>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</si>
  <si>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</si>
  <si>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</si>
  <si>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</si>
  <si>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</si>
  <si>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</si>
  <si>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</si>
  <si>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</si>
  <si>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</si>
  <si>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</si>
  <si>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</si>
  <si>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</si>
  <si>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</si>
  <si>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</si>
  <si>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</si>
  <si>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</si>
  <si>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</si>
  <si>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</si>
  <si>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</si>
  <si>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</si>
  <si>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</si>
  <si>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</si>
  <si>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</si>
  <si>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</si>
  <si>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</si>
  <si>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</si>
  <si>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</si>
  <si>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</si>
  <si>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</si>
  <si>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</si>
  <si>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</si>
  <si>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</si>
  <si>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</si>
  <si>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</si>
  <si>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</si>
  <si>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</si>
  <si>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</si>
  <si>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</si>
  <si>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</si>
  <si>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</si>
  <si>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</si>
  <si>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</si>
  <si>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</si>
  <si>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</si>
  <si>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</si>
  <si>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</si>
  <si>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</si>
  <si>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</si>
  <si>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</si>
  <si>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</si>
  <si>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</si>
  <si>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</si>
  <si>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</si>
  <si>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</si>
  <si>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</si>
  <si>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</si>
  <si>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</si>
  <si>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</si>
  <si>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</si>
  <si>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</si>
  <si>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</si>
  <si>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</si>
  <si>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</si>
  <si>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</si>
  <si>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</si>
  <si>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</si>
  <si>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</si>
  <si>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</si>
  <si>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</si>
  <si>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</si>
  <si>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</si>
  <si>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</si>
  <si>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</si>
  <si>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</si>
  <si>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</si>
  <si>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</si>
  <si>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</si>
  <si>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</si>
  <si>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</si>
  <si>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</si>
  <si>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</si>
  <si>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</si>
  <si>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</si>
  <si>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</si>
  <si>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</si>
  <si>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</si>
  <si>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</si>
  <si>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</si>
  <si>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</si>
  <si>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</si>
  <si>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</si>
  <si>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</si>
  <si>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</si>
  <si>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</si>
  <si>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</si>
  <si>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</si>
  <si>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</si>
  <si>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</si>
  <si>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</si>
  <si>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</si>
  <si>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</si>
  <si>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</si>
  <si>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</si>
  <si>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</si>
  <si>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</si>
  <si>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</si>
  <si>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</si>
  <si>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</si>
  <si>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</si>
  <si>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</si>
  <si>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</si>
  <si>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</si>
  <si>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</si>
  <si>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</si>
  <si>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</si>
  <si>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</si>
  <si>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</si>
  <si>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</si>
  <si>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</si>
  <si>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</si>
  <si>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</si>
  <si>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</si>
  <si>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</si>
  <si>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</si>
  <si>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</si>
  <si>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</si>
  <si>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</si>
  <si>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</si>
  <si>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</si>
  <si>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</si>
  <si>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</si>
  <si>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</si>
  <si>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</si>
  <si>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</si>
  <si>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</si>
  <si>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</si>
  <si>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</si>
  <si>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</si>
  <si>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</si>
  <si>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</si>
  <si>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</si>
  <si>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</si>
  <si>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</si>
  <si>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</si>
  <si>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</si>
  <si>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</si>
  <si>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</si>
  <si>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</si>
  <si>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</si>
  <si>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</si>
  <si>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</si>
  <si>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</si>
  <si>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</si>
  <si>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</si>
  <si>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</si>
  <si>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</si>
  <si>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</si>
  <si>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</si>
  <si>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</si>
  <si>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</si>
  <si>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</si>
  <si>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</si>
  <si>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</si>
  <si>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</si>
  <si>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</si>
  <si>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</si>
  <si>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</si>
  <si>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</si>
  <si>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</si>
  <si>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</si>
  <si>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</si>
  <si>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</si>
  <si>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</si>
  <si>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</si>
  <si>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</si>
  <si>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</si>
  <si>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</si>
  <si>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</si>
  <si>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</si>
  <si>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</si>
  <si>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</si>
  <si>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</si>
  <si>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</si>
  <si>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</si>
  <si>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</si>
  <si>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</si>
  <si>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</si>
  <si>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</si>
  <si>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</si>
  <si>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</si>
  <si>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</si>
  <si>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</si>
  <si>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</si>
  <si>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</si>
  <si>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</si>
  <si>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</si>
  <si>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</si>
  <si>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</si>
  <si>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</si>
  <si>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</si>
  <si>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</si>
  <si>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</si>
  <si>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</si>
  <si>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</si>
  <si>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</si>
  <si>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</si>
  <si>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</si>
  <si>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</si>
  <si>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</si>
  <si>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</si>
  <si>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</si>
  <si>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</si>
  <si>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</si>
  <si>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</si>
  <si>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</si>
  <si>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</si>
  <si>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</si>
  <si>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</si>
  <si>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</si>
  <si>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</si>
  <si>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</si>
  <si>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</si>
  <si>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</si>
  <si>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</si>
  <si>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</si>
  <si>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</si>
  <si>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</si>
  <si>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</si>
  <si>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</si>
  <si>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</si>
  <si>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</si>
  <si>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</si>
  <si>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</si>
  <si>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</si>
  <si>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</si>
  <si>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</si>
  <si>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</si>
  <si>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</si>
  <si>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</si>
  <si>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</si>
  <si>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</si>
  <si>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</si>
  <si>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</si>
  <si>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</si>
  <si>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</si>
  <si>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</si>
  <si>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</si>
  <si>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</si>
  <si>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</si>
  <si>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</si>
  <si>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</si>
  <si>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</si>
  <si>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</si>
  <si>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</si>
  <si>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</si>
  <si>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</si>
  <si>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</si>
  <si>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</si>
  <si>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</si>
  <si>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</si>
  <si>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</si>
  <si>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</si>
  <si>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</si>
  <si>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</si>
  <si>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</si>
  <si>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</si>
  <si>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</si>
  <si>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</si>
  <si>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</si>
  <si>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</si>
  <si>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</si>
  <si>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</si>
  <si>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</si>
  <si>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</si>
  <si>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</si>
  <si>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</si>
  <si>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</si>
  <si>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</si>
  <si>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</si>
  <si>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</si>
  <si>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</si>
  <si>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</si>
  <si>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</si>
  <si>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</si>
  <si>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</si>
  <si>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</si>
  <si>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</si>
  <si>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</si>
  <si>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</si>
  <si>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</si>
  <si>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</si>
  <si>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</si>
  <si>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</si>
  <si>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</si>
  <si>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</si>
  <si>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</si>
  <si>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</si>
  <si>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</si>
  <si>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</si>
  <si>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</si>
  <si>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</si>
  <si>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</si>
  <si>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</si>
  <si>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</si>
  <si>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</si>
  <si>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</si>
  <si>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</si>
  <si>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</si>
  <si>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</si>
  <si>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</si>
  <si>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</si>
  <si>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</si>
  <si>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</si>
  <si>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</si>
  <si>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</si>
  <si>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</si>
  <si>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</si>
  <si>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</si>
  <si>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</si>
  <si>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</si>
  <si>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</si>
  <si>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</si>
  <si>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</si>
  <si>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</si>
  <si>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</si>
  <si>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</si>
  <si>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</si>
  <si>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</si>
  <si>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</si>
  <si>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</si>
  <si>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</si>
  <si>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</si>
  <si>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</si>
  <si>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</si>
  <si>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</si>
  <si>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</si>
  <si>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</si>
  <si>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</si>
  <si>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</si>
  <si>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</si>
  <si>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</si>
  <si>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</si>
  <si>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</si>
  <si>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</si>
  <si>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</si>
  <si>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</si>
  <si>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</si>
  <si>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</si>
  <si>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</si>
  <si>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</si>
  <si>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</si>
  <si>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</si>
  <si>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</si>
  <si>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</si>
  <si>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</si>
  <si>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</si>
  <si>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</si>
  <si>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</si>
  <si>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</si>
  <si>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</si>
  <si>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</si>
  <si>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</si>
  <si>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</si>
  <si>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</si>
  <si>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</si>
  <si>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</si>
  <si>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</si>
  <si>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</si>
  <si>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</si>
  <si>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</si>
  <si>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</si>
  <si>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</si>
  <si>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</si>
  <si>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</si>
  <si>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</si>
  <si>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</si>
  <si>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</si>
  <si>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</si>
  <si>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</si>
  <si>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</si>
  <si>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</si>
  <si>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</si>
  <si>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</si>
  <si>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</si>
  <si>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</si>
  <si>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</si>
  <si>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</si>
  <si>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</si>
  <si>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</si>
  <si>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</si>
  <si>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</si>
  <si>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</si>
  <si>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</si>
  <si>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</si>
  <si>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</si>
  <si>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</si>
  <si>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</si>
  <si>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</si>
  <si>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</si>
  <si>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</si>
  <si>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</si>
  <si>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</si>
  <si>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</si>
  <si>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</si>
  <si>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</si>
  <si>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</si>
  <si>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</si>
  <si>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</si>
  <si>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</si>
  <si>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</si>
  <si>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</si>
  <si>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</si>
  <si>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</si>
  <si>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</si>
  <si>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</si>
  <si>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</si>
  <si>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</si>
  <si>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</si>
  <si>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</si>
  <si>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</si>
  <si>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</si>
  <si>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</si>
  <si>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</si>
  <si>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</si>
  <si>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</si>
  <si>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</si>
  <si>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</si>
  <si>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</si>
  <si>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</si>
  <si>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</si>
  <si>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</si>
  <si>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</si>
  <si>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</si>
  <si>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</si>
  <si>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</si>
  <si>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</si>
  <si>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</si>
  <si>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</si>
  <si>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</si>
  <si>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</si>
  <si>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</si>
  <si>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</si>
  <si>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</si>
  <si>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</si>
  <si>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</si>
  <si>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</si>
  <si>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</si>
  <si>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</si>
  <si>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</si>
  <si>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</si>
  <si>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</si>
  <si>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</si>
  <si>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</si>
  <si>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</si>
  <si>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</si>
  <si>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</si>
  <si>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</si>
  <si>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</si>
  <si>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</si>
  <si>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</si>
  <si>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</si>
  <si>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</si>
  <si>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</si>
  <si>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</si>
  <si>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</si>
  <si>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</si>
  <si>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</si>
  <si>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</si>
  <si>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</si>
  <si>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</si>
  <si>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</si>
  <si>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</si>
  <si>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</si>
  <si>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</si>
  <si>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</si>
  <si>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</si>
  <si>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</si>
  <si>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</si>
  <si>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</si>
  <si>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</si>
  <si>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</si>
  <si>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</si>
  <si>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</si>
  <si>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</si>
  <si>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</si>
  <si>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</si>
  <si>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</si>
  <si>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</si>
  <si>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</si>
  <si>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</si>
  <si>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</si>
  <si>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</si>
  <si>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</si>
  <si>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</si>
  <si>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</si>
  <si>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</si>
  <si>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</si>
  <si>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</si>
  <si>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</si>
  <si>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</si>
  <si>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</si>
  <si>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</si>
  <si>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</si>
  <si>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</si>
  <si>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</si>
  <si>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</si>
  <si>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</si>
  <si>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</si>
  <si>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</si>
  <si>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</si>
  <si>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</si>
  <si>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</si>
  <si>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</si>
  <si>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</si>
  <si>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</si>
  <si>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</si>
  <si>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</si>
  <si>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</si>
  <si>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</si>
  <si>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</si>
  <si>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</si>
  <si>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</si>
  <si>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</si>
  <si>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</si>
  <si>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</si>
  <si>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</si>
  <si>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</si>
  <si>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</si>
  <si>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</si>
  <si>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</si>
  <si>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</si>
  <si>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</si>
  <si>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</si>
  <si>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</si>
  <si>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</si>
  <si>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</si>
  <si>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</si>
  <si>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</si>
  <si>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</si>
  <si>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</si>
  <si>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</si>
  <si>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</si>
  <si>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</si>
  <si>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</si>
  <si>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</si>
  <si>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</si>
  <si>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</si>
  <si>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</si>
  <si>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</si>
  <si>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</si>
  <si>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</si>
  <si>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</si>
  <si>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</si>
  <si>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</si>
  <si>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</si>
  <si>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</si>
  <si>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</si>
  <si>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</si>
  <si>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</si>
  <si>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</si>
  <si>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</si>
  <si>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</si>
  <si>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</si>
  <si>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</si>
  <si>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</si>
  <si>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</si>
  <si>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</si>
  <si>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</si>
  <si>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</si>
  <si>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</si>
  <si>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</si>
  <si>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</si>
  <si>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</si>
  <si>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</si>
  <si>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</si>
  <si>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</si>
  <si>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</si>
  <si>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</si>
  <si>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</si>
  <si>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</si>
  <si>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</si>
  <si>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</si>
  <si>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</si>
  <si>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</si>
  <si>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</si>
  <si>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</si>
  <si>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</si>
  <si>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</si>
  <si>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</si>
  <si>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</si>
  <si>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</si>
  <si>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</si>
  <si>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</si>
  <si>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</si>
  <si>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</si>
  <si>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</si>
  <si>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</si>
  <si>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</si>
  <si>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</si>
  <si>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</si>
  <si>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</si>
  <si>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</si>
  <si>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</si>
  <si>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</si>
  <si>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</si>
  <si>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</si>
  <si>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</si>
  <si>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</si>
  <si>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</si>
  <si>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</si>
  <si>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</si>
  <si>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</si>
  <si>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</si>
  <si>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</si>
  <si>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</si>
  <si>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</si>
  <si>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</si>
  <si>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</si>
  <si>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</si>
  <si>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</si>
  <si>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</si>
  <si>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</si>
  <si>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</si>
  <si>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</si>
  <si>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</si>
  <si>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</si>
  <si>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</si>
  <si>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</si>
  <si>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</si>
  <si>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</si>
  <si>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</si>
  <si>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</si>
  <si>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</si>
  <si>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</si>
  <si>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</si>
  <si>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</si>
  <si>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</si>
  <si>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</si>
  <si>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</si>
  <si>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</si>
  <si>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</si>
  <si>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</si>
  <si>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</si>
  <si>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</si>
  <si>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</si>
  <si>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</si>
  <si>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</si>
  <si>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</si>
  <si>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</si>
  <si>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</si>
  <si>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</si>
  <si>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</si>
  <si>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</si>
  <si>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</si>
  <si>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</si>
  <si>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</si>
  <si>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</si>
  <si>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</si>
  <si>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</si>
  <si>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</si>
  <si>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</si>
  <si>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</si>
  <si>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</si>
  <si>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</si>
  <si>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</si>
  <si>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</si>
  <si>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</si>
  <si>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</si>
  <si>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</si>
  <si>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</si>
  <si>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</si>
  <si>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</si>
  <si>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</si>
  <si>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</si>
  <si>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</si>
  <si>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</si>
  <si>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</si>
  <si>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</si>
  <si>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</si>
  <si>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</si>
  <si>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</si>
  <si>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</si>
  <si>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</si>
  <si>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</si>
  <si>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</si>
  <si>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</si>
  <si>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</si>
  <si>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</si>
  <si>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</si>
  <si>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</si>
  <si>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</si>
  <si>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</si>
  <si>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</si>
  <si>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</si>
  <si>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</si>
  <si>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</si>
  <si>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</si>
  <si>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</si>
  <si>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</si>
  <si>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</si>
  <si>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</si>
  <si>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</si>
  <si>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</si>
  <si>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</si>
  <si>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</si>
  <si>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</si>
  <si>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</si>
  <si>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</si>
  <si>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</si>
  <si>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</si>
  <si>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</si>
  <si>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</si>
  <si>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</si>
  <si>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</si>
  <si>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</si>
  <si>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</si>
  <si>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</si>
  <si>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</si>
  <si>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</si>
  <si>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</si>
  <si>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</si>
  <si>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</si>
  <si>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</si>
  <si>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</si>
  <si>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</si>
  <si>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</si>
  <si>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</si>
  <si>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</si>
  <si>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</si>
  <si>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</si>
  <si>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</si>
  <si>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</si>
  <si>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</si>
  <si>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</si>
  <si>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</si>
  <si>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</si>
  <si>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</si>
  <si>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</si>
  <si>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</si>
  <si>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</si>
  <si>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</si>
  <si>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</si>
  <si>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</si>
  <si>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</si>
  <si>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</si>
  <si>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</si>
  <si>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</si>
  <si>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</si>
  <si>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</si>
  <si>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</si>
  <si>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</si>
  <si>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</si>
  <si>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</si>
  <si>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</si>
  <si>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</si>
  <si>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</si>
  <si>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</si>
  <si>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</si>
  <si>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</si>
  <si>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</si>
  <si>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</si>
  <si>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</si>
  <si>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</si>
  <si>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</si>
  <si>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</si>
  <si>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</si>
  <si>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</si>
  <si>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</si>
  <si>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</si>
  <si>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</si>
  <si>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</si>
  <si>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</si>
  <si>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</si>
  <si>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</si>
  <si>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</si>
  <si>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</si>
  <si>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</si>
  <si>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</si>
  <si>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</si>
  <si>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</si>
  <si>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</si>
  <si>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</si>
  <si>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</si>
  <si>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</si>
  <si>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</si>
  <si>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</si>
  <si>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</si>
  <si>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</si>
  <si>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</si>
  <si>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</si>
  <si>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</si>
  <si>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</si>
  <si>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</si>
  <si>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</si>
  <si>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</si>
  <si>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</si>
  <si>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</si>
  <si>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</si>
  <si>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</si>
  <si>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</si>
  <si>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</si>
  <si>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</si>
  <si>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</si>
  <si>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</si>
  <si>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</si>
  <si>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</si>
  <si>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</si>
  <si>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</si>
  <si>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</si>
  <si>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</si>
  <si>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</si>
  <si>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</si>
  <si>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</si>
  <si>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</si>
  <si>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</si>
  <si>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</si>
  <si>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</si>
  <si>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</si>
  <si>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</si>
  <si>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</si>
  <si>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</si>
  <si>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</si>
  <si>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</si>
  <si>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</si>
  <si>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</si>
  <si>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</si>
  <si>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</si>
  <si>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</si>
  <si>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</si>
  <si>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</si>
  <si>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</si>
  <si>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</si>
  <si>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</si>
  <si>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</si>
  <si>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</si>
  <si>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</si>
  <si>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</si>
  <si>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</si>
  <si>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</si>
  <si>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</si>
  <si>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</si>
  <si>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</si>
  <si>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</si>
  <si>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</si>
  <si>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</si>
  <si>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</si>
  <si>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</si>
  <si>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</si>
  <si>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</si>
  <si>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</si>
  <si>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</si>
  <si>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</si>
  <si>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</si>
  <si>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</si>
  <si>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</si>
  <si>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</si>
  <si>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</si>
  <si>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</si>
  <si>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</si>
  <si>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</si>
  <si>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</si>
  <si>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</si>
  <si>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</si>
  <si>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</si>
  <si>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</si>
  <si>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</si>
  <si>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</si>
  <si>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</si>
  <si>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</si>
  <si>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</si>
  <si>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</si>
  <si>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</si>
  <si>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</si>
  <si>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</si>
  <si>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</si>
  <si>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</si>
  <si>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</si>
  <si>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</si>
  <si>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</si>
  <si>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</si>
  <si>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</si>
  <si>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</si>
  <si>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</si>
  <si>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</si>
  <si>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</si>
  <si>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</si>
  <si>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</si>
  <si>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</si>
  <si>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</si>
  <si>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</si>
  <si>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</si>
  <si>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</si>
  <si>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</si>
  <si>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</si>
  <si>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</si>
  <si>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</si>
  <si>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</si>
  <si>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</si>
  <si>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</si>
  <si>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</si>
  <si>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</si>
  <si>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</si>
  <si>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</si>
  <si>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</si>
  <si>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</si>
  <si>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</si>
  <si>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</si>
  <si>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</si>
  <si>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</si>
  <si>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</si>
  <si>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</si>
  <si>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</si>
  <si>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</si>
  <si>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</si>
  <si>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</si>
  <si>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</si>
  <si>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</si>
  <si>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</si>
  <si>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</si>
  <si>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</si>
  <si>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</si>
  <si>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</si>
  <si>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</si>
  <si>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</si>
  <si>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</si>
  <si>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</si>
  <si>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</si>
  <si>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</si>
  <si>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</si>
  <si>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</si>
  <si>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</si>
  <si>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</si>
  <si>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</si>
  <si>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</si>
  <si>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</si>
  <si>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</si>
  <si>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</si>
  <si>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</si>
  <si>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</si>
  <si>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</si>
  <si>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</si>
  <si>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</si>
  <si>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</si>
  <si>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</si>
  <si>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</si>
  <si>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</si>
  <si>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</si>
  <si>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</si>
  <si>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</si>
  <si>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</si>
  <si>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</si>
  <si>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</si>
  <si>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</si>
  <si>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</si>
  <si>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</si>
  <si>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</si>
  <si>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</si>
  <si>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</si>
  <si>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</si>
  <si>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</si>
  <si>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</si>
  <si>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</si>
  <si>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</si>
  <si>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</si>
  <si>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</si>
  <si>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</si>
  <si>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</si>
  <si>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</si>
  <si>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</si>
  <si>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</si>
  <si>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</si>
  <si>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</si>
  <si>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</si>
  <si>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</si>
  <si>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</si>
  <si>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</si>
  <si>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</si>
  <si>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</si>
  <si>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</si>
  <si>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</si>
  <si>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</si>
  <si>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</si>
  <si>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</si>
  <si>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</si>
  <si>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</si>
  <si>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</si>
  <si>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</si>
  <si>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</si>
  <si>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</si>
  <si>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</si>
  <si>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</si>
  <si>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</si>
  <si>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</si>
  <si>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</si>
  <si>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</si>
  <si>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</si>
  <si>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</si>
  <si>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</si>
  <si>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</si>
  <si>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</si>
  <si>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</si>
  <si>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</si>
  <si>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</si>
  <si>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</si>
  <si>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</si>
  <si>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</si>
  <si>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</si>
  <si>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</si>
  <si>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</si>
  <si>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</si>
  <si>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</si>
  <si>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</si>
  <si>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</si>
  <si>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</si>
  <si>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</si>
  <si>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</si>
  <si>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</si>
  <si>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</si>
  <si>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</si>
  <si>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</si>
  <si>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</si>
  <si>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</si>
  <si>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</si>
  <si>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</si>
  <si>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</si>
  <si>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</si>
  <si>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</si>
  <si>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</si>
  <si>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</si>
  <si>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</si>
  <si>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</si>
  <si>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</si>
  <si>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</si>
  <si>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</si>
  <si>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</si>
  <si>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</si>
  <si>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</si>
  <si>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</si>
  <si>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</si>
  <si>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</si>
  <si>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</si>
  <si>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</si>
  <si>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</si>
  <si>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</si>
  <si>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</si>
  <si>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</si>
  <si>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</si>
  <si>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</si>
  <si>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</si>
  <si>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</si>
  <si>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</si>
  <si>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</si>
  <si>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</si>
  <si>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</si>
  <si>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</si>
  <si>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</si>
  <si>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</si>
  <si>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</si>
  <si>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</si>
  <si>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</si>
  <si>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</si>
  <si>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</si>
  <si>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</si>
  <si>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</si>
  <si>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</si>
  <si>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</si>
  <si>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</si>
  <si>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</si>
  <si>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</si>
  <si>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</si>
  <si>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</si>
  <si>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</si>
  <si>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</si>
  <si>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</si>
  <si>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</si>
  <si>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</si>
  <si>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</si>
  <si>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</si>
  <si>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</si>
  <si>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</si>
  <si>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</si>
  <si>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</si>
  <si>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</si>
  <si>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</si>
  <si>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</si>
  <si>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</si>
  <si>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</si>
  <si>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</si>
  <si>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</si>
  <si>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</si>
  <si>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</si>
  <si>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</si>
  <si>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</si>
  <si>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</si>
  <si>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</si>
  <si>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</si>
  <si>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</si>
  <si>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</si>
  <si>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</si>
  <si>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</si>
  <si>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</si>
  <si>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</si>
  <si>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</si>
  <si>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</si>
  <si>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</si>
  <si>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</si>
  <si>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</si>
  <si>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</si>
  <si>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</si>
  <si>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</si>
  <si>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</si>
  <si>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</si>
  <si>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</si>
  <si>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</si>
  <si>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</si>
  <si>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</si>
  <si>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</si>
  <si>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</si>
  <si>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</si>
  <si>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</si>
  <si>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</si>
  <si>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</si>
  <si>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</si>
  <si>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</si>
  <si>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</si>
  <si>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</si>
  <si>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</si>
  <si>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</si>
  <si>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</si>
  <si>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</si>
  <si>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</si>
  <si>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</si>
  <si>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</si>
  <si>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</si>
  <si>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</si>
  <si>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</si>
  <si>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</si>
  <si>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</si>
  <si>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</si>
  <si>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</si>
  <si>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</si>
  <si>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</si>
  <si>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</si>
  <si>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</si>
  <si>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</si>
  <si>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</si>
  <si>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</si>
  <si>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</si>
  <si>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</si>
  <si>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</si>
  <si>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</si>
  <si>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</si>
  <si>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</si>
  <si>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</si>
  <si>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</si>
  <si>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</si>
  <si>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</si>
  <si>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</si>
  <si>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</si>
  <si>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</si>
  <si>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</si>
  <si>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</si>
  <si>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</si>
  <si>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</si>
  <si>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</si>
  <si>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</si>
  <si>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</si>
  <si>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</si>
  <si>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</si>
  <si>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</si>
  <si>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</si>
  <si>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</si>
  <si>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</si>
  <si>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</si>
  <si>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</si>
  <si>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</si>
  <si>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</si>
  <si>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</si>
  <si>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</si>
  <si>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</si>
  <si>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</si>
  <si>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</si>
  <si>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</si>
  <si>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</si>
  <si>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</si>
  <si>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</si>
  <si>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</si>
  <si>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</si>
  <si>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</si>
  <si>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</si>
  <si>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</si>
  <si>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</si>
  <si>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</si>
  <si>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</si>
  <si>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</si>
  <si>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</si>
  <si>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</si>
  <si>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</si>
  <si>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</si>
  <si>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</si>
  <si>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</si>
  <si>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</si>
  <si>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</si>
  <si>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</si>
  <si>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</si>
  <si>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</si>
  <si>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</si>
  <si>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</si>
  <si>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</si>
  <si>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</si>
  <si>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</si>
  <si>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</si>
  <si>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</si>
  <si>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</si>
  <si>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</si>
  <si>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</si>
  <si>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</si>
  <si>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</si>
  <si>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</si>
  <si>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</si>
  <si>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</si>
  <si>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</si>
  <si>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</si>
  <si>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</si>
  <si>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</si>
  <si>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</si>
  <si>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</si>
  <si>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</si>
  <si>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</si>
  <si>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</si>
  <si>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</si>
  <si>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</si>
  <si>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</si>
  <si>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</si>
  <si>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</si>
  <si>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</si>
  <si>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</si>
  <si>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</si>
  <si>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</si>
  <si>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</si>
  <si>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</si>
  <si>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</si>
  <si>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</si>
  <si>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</si>
  <si>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</si>
  <si>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</si>
  <si>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</si>
  <si>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</si>
  <si>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</si>
  <si>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</si>
  <si>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</si>
  <si>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</si>
  <si>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</si>
  <si>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</si>
  <si>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</si>
  <si>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</si>
  <si>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</si>
  <si>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</si>
  <si>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</si>
  <si>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</si>
  <si>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</si>
  <si>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</si>
  <si>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</si>
  <si>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</si>
  <si>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</si>
  <si>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</si>
  <si>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</si>
  <si>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</si>
  <si>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</si>
  <si>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</si>
  <si>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</si>
  <si>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</si>
  <si>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</si>
  <si>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</si>
  <si>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</si>
  <si>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</si>
  <si>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</si>
  <si>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</si>
  <si>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</si>
  <si>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</si>
  <si>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</si>
  <si>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</si>
  <si>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</si>
  <si>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</si>
  <si>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</si>
  <si>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</si>
  <si>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</si>
  <si>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</si>
  <si>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</si>
  <si>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</si>
  <si>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</si>
  <si>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</si>
  <si>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</si>
  <si>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</si>
  <si>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</si>
  <si>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</si>
  <si>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</si>
  <si>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</si>
  <si>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</si>
  <si>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</si>
  <si>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</si>
  <si>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</si>
  <si>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</si>
  <si>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</si>
  <si>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</si>
  <si>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</si>
  <si>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</si>
  <si>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</si>
  <si>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</si>
  <si>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</si>
  <si>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</si>
  <si>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</si>
  <si>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</si>
  <si>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</si>
  <si>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</si>
  <si>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</si>
  <si>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</si>
  <si>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</si>
  <si>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</si>
  <si>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</si>
  <si>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</si>
  <si>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</si>
  <si>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</si>
  <si>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</si>
  <si>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</si>
  <si>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</si>
  <si>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</si>
  <si>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</si>
  <si>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</si>
  <si>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</si>
  <si>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</si>
  <si>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</si>
  <si>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</si>
  <si>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</si>
  <si>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</si>
  <si>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</si>
  <si>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</si>
  <si>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</si>
  <si>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</si>
  <si>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</si>
  <si>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</si>
  <si>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</si>
  <si>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</si>
  <si>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</si>
  <si>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</si>
  <si>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</si>
  <si>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</si>
  <si>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</si>
  <si>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</si>
  <si>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</si>
  <si>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</si>
  <si>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</si>
  <si>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</si>
  <si>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</si>
  <si>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</si>
  <si>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</si>
  <si>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</si>
  <si>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</si>
  <si>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</si>
  <si>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</si>
  <si>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</si>
  <si>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</si>
  <si>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</si>
  <si>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</si>
  <si>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</si>
  <si>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</si>
  <si>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</si>
  <si>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</si>
  <si>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</si>
  <si>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</si>
  <si>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</si>
  <si>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</si>
  <si>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</si>
  <si>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</si>
  <si>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</si>
  <si>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</si>
  <si>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</si>
  <si>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</si>
  <si>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</si>
  <si>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</si>
  <si>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</si>
  <si>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</si>
  <si>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</si>
  <si>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</si>
  <si>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</si>
  <si>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</si>
  <si>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</si>
  <si>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</si>
  <si>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</si>
  <si>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</si>
  <si>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</si>
  <si>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</si>
  <si>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</si>
  <si>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</si>
  <si>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</si>
  <si>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</si>
  <si>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</si>
  <si>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</si>
  <si>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</si>
  <si>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</si>
  <si>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</si>
  <si>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</si>
  <si>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</si>
  <si>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</si>
  <si>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</si>
  <si>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</si>
  <si>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</si>
  <si>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</si>
  <si>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</si>
  <si>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</si>
  <si>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</si>
  <si>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</si>
  <si>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</si>
  <si>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</si>
  <si>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</si>
  <si>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</si>
  <si>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</si>
  <si>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</si>
  <si>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</si>
  <si>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</si>
  <si>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</si>
  <si>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</si>
  <si>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</si>
  <si>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</si>
  <si>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</si>
  <si>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</si>
  <si>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</si>
  <si>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</si>
  <si>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</si>
  <si>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</si>
  <si>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</si>
  <si>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</si>
  <si>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</si>
  <si>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</si>
  <si>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</si>
  <si>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</si>
  <si>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</si>
  <si>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</si>
  <si>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</si>
  <si>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</si>
  <si>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</si>
  <si>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</si>
  <si>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</si>
  <si>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</si>
  <si>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</si>
  <si>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</si>
  <si>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</si>
  <si>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</si>
  <si>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</si>
  <si>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</si>
  <si>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</si>
  <si>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</si>
  <si>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</si>
  <si>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</si>
  <si>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</si>
  <si>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</si>
  <si>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</si>
  <si>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</si>
  <si>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</si>
  <si>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</si>
  <si>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</si>
  <si>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</si>
  <si>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</si>
  <si>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</si>
  <si>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</si>
  <si>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</si>
  <si>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</si>
  <si>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</si>
  <si>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</si>
  <si>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</si>
  <si>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</si>
  <si>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</si>
  <si>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</si>
  <si>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</si>
  <si>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</si>
  <si>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</si>
  <si>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</si>
  <si>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</si>
  <si>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</si>
  <si>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</si>
  <si>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</si>
  <si>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</si>
  <si>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</si>
  <si>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</si>
  <si>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</si>
  <si>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</si>
  <si>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</si>
  <si>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</si>
  <si>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</si>
  <si>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</si>
  <si>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</si>
  <si>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</si>
  <si>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</si>
  <si>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</si>
  <si>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</si>
  <si>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</si>
  <si>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</si>
  <si>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</si>
  <si>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</si>
  <si>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</si>
  <si>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</si>
  <si>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</si>
  <si>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</si>
  <si>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</si>
  <si>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</si>
  <si>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</si>
  <si>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</si>
  <si>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</si>
  <si>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</si>
  <si>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</si>
  <si>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</si>
  <si>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</si>
  <si>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</si>
  <si>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</si>
  <si>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</si>
  <si>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</si>
  <si>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</si>
  <si>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</si>
  <si>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</si>
  <si>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</si>
  <si>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</si>
  <si>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</si>
  <si>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</si>
  <si>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</si>
  <si>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</si>
  <si>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</si>
  <si>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</si>
  <si>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</si>
  <si>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</si>
  <si>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</si>
  <si>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</si>
  <si>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</si>
  <si>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</si>
  <si>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</si>
  <si>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</si>
  <si>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</si>
  <si>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</si>
  <si>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</si>
  <si>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</si>
  <si>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</si>
  <si>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</si>
  <si>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</si>
  <si>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</si>
  <si>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</si>
  <si>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</si>
  <si>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</si>
  <si>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</si>
  <si>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</si>
  <si>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</si>
  <si>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</si>
  <si>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</si>
  <si>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</si>
  <si>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</si>
  <si>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</si>
  <si>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</si>
  <si>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</si>
  <si>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</si>
  <si>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</si>
  <si>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</si>
  <si>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</si>
  <si>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</si>
  <si>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</si>
  <si>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</si>
  <si>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</si>
  <si>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</si>
  <si>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</si>
  <si>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</si>
  <si>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</si>
  <si>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</si>
  <si>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</si>
  <si>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</si>
  <si>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</si>
  <si>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</si>
  <si>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</si>
  <si>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</si>
  <si>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</si>
  <si>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</si>
  <si>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</si>
  <si>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</si>
  <si>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</si>
  <si>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</si>
  <si>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</si>
  <si>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</si>
  <si>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</si>
  <si>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</si>
  <si>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</si>
  <si>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</si>
  <si>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</si>
  <si>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</si>
  <si>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</si>
  <si>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</si>
  <si>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</si>
  <si>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</si>
  <si>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</si>
  <si>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</si>
  <si>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</si>
  <si>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</si>
  <si>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</si>
  <si>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</si>
  <si>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</si>
  <si>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</si>
  <si>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</si>
  <si>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</si>
  <si>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</si>
  <si>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</si>
  <si>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</si>
  <si>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</si>
  <si>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</si>
  <si>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</si>
  <si>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</si>
  <si>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</si>
  <si>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</si>
  <si>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</si>
  <si>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</si>
  <si>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</si>
  <si>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</si>
  <si>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</si>
  <si>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</si>
  <si>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</si>
  <si>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</si>
  <si>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</si>
  <si>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</si>
  <si>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</si>
  <si>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</si>
  <si>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</si>
  <si>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</si>
  <si>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</si>
  <si>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</si>
  <si>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</si>
  <si>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</si>
  <si>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</si>
  <si>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</si>
  <si>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</si>
  <si>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</si>
  <si>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</si>
  <si>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</si>
  <si>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</si>
  <si>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</si>
  <si>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</si>
  <si>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</si>
  <si>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</si>
  <si>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</si>
  <si>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</si>
  <si>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</si>
  <si>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</si>
  <si>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</si>
  <si>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</si>
  <si>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</si>
  <si>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</si>
  <si>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</si>
  <si>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</si>
  <si>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</si>
  <si>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</si>
  <si>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</si>
  <si>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</si>
  <si>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</si>
  <si>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</si>
  <si>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</si>
  <si>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</si>
  <si>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</si>
  <si>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</si>
  <si>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</si>
  <si>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</si>
  <si>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</si>
  <si>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</si>
  <si>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</si>
  <si>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</si>
  <si>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</si>
  <si>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</si>
  <si>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</si>
  <si>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</si>
  <si>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</si>
  <si>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</si>
  <si>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</si>
  <si>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</si>
  <si>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</si>
  <si>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</si>
  <si>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</si>
  <si>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</si>
  <si>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</si>
  <si>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</si>
  <si>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</si>
  <si>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</si>
  <si>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</si>
  <si>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</si>
  <si>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</si>
  <si>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</si>
  <si>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</si>
  <si>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</si>
  <si>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</si>
  <si>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</si>
  <si>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</si>
  <si>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</si>
  <si>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</si>
  <si>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</si>
  <si>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</si>
  <si>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</si>
  <si>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</si>
  <si>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</si>
  <si>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</si>
  <si>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</si>
  <si>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</si>
  <si>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</si>
  <si>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</si>
  <si>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</si>
  <si>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</si>
  <si>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</si>
  <si>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</si>
  <si>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</si>
  <si>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</si>
  <si>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</si>
  <si>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</si>
  <si>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</si>
  <si>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</si>
  <si>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</si>
  <si>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</si>
  <si>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</si>
  <si>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</si>
  <si>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</si>
  <si>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</si>
  <si>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</si>
  <si>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</si>
  <si>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</si>
  <si>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</si>
  <si>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</si>
  <si>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</si>
  <si>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</si>
  <si>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</si>
  <si>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</si>
  <si>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</si>
  <si>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</si>
  <si>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</si>
  <si>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</si>
  <si>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</si>
  <si>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</si>
  <si>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</si>
  <si>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</si>
  <si>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</si>
  <si>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</si>
  <si>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</si>
  <si>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</si>
  <si>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</si>
  <si>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</si>
  <si>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</si>
  <si>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</si>
  <si>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</si>
  <si>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</si>
  <si>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</si>
  <si>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</si>
  <si>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</si>
  <si>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</si>
  <si>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</si>
  <si>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</si>
  <si>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</si>
  <si>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</si>
  <si>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</si>
  <si>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</si>
  <si>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</si>
  <si>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</si>
  <si>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</si>
  <si>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</si>
  <si>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</si>
  <si>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</si>
  <si>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</si>
  <si>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</si>
  <si>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</si>
  <si>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</si>
  <si>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</si>
  <si>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</si>
  <si>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</si>
  <si>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</si>
  <si>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</si>
  <si>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</si>
  <si>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</si>
  <si>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</si>
  <si>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</si>
  <si>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</si>
  <si>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</si>
  <si>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</si>
  <si>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</si>
  <si>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</si>
  <si>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</si>
  <si>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</si>
  <si>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</si>
  <si>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</si>
  <si>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</si>
  <si>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</si>
  <si>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</si>
  <si>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</si>
  <si>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</si>
  <si>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</si>
  <si>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</si>
  <si>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</si>
  <si>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</si>
  <si>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</si>
  <si>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</si>
  <si>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</si>
  <si>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</si>
  <si>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</si>
  <si>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</si>
  <si>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</si>
  <si>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</si>
  <si>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</si>
  <si>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</si>
  <si>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</si>
  <si>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</si>
  <si>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</si>
  <si>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</si>
  <si>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</si>
  <si>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</si>
  <si>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</si>
  <si>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</si>
  <si>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</si>
  <si>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</si>
  <si>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</si>
  <si>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</si>
  <si>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</si>
  <si>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</si>
  <si>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</si>
  <si>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</si>
  <si>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</si>
  <si>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</si>
  <si>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</si>
  <si>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</si>
  <si>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</si>
  <si>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</si>
  <si>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</si>
  <si>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</si>
  <si>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</si>
  <si>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</si>
  <si>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</si>
  <si>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</si>
  <si>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</si>
  <si>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</si>
  <si>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</si>
  <si>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</si>
  <si>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</si>
  <si>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</si>
  <si>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</si>
  <si>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</si>
  <si>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</si>
  <si>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</si>
  <si>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</si>
  <si>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</si>
  <si>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</si>
  <si>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</si>
  <si>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</si>
  <si>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</si>
  <si>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</si>
  <si>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</si>
  <si>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</si>
  <si>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</si>
  <si>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</si>
  <si>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</si>
  <si>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</si>
  <si>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</si>
  <si>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</si>
  <si>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</si>
  <si>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</si>
  <si>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</si>
  <si>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</si>
  <si>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</si>
  <si>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</si>
  <si>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</si>
  <si>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</si>
  <si>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</si>
  <si>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</si>
  <si>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</si>
  <si>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</si>
  <si>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</si>
  <si>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</si>
  <si>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</si>
  <si>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</si>
  <si>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</si>
  <si>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</si>
  <si>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</si>
  <si>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</si>
  <si>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</si>
  <si>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</si>
  <si>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</si>
  <si>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</si>
  <si>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</si>
  <si>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</si>
  <si>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</si>
  <si>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</si>
  <si>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</si>
  <si>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</si>
  <si>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</si>
  <si>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</si>
  <si>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</si>
  <si>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</si>
  <si>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</si>
  <si>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</si>
  <si>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</si>
  <si>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</si>
  <si>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</si>
  <si>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</si>
  <si>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</si>
  <si>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</si>
  <si>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</si>
  <si>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</si>
  <si>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</si>
  <si>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</si>
  <si>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</si>
  <si>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</si>
  <si>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</si>
  <si>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</si>
  <si>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</si>
  <si>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</si>
  <si>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</si>
  <si>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</si>
  <si>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</si>
  <si>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</si>
  <si>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</si>
  <si>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</si>
  <si>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</si>
  <si>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</si>
  <si>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</si>
  <si>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</si>
  <si>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</si>
  <si>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</si>
  <si>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</si>
  <si>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</si>
  <si>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</si>
  <si>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</si>
  <si>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</si>
  <si>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</si>
  <si>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</si>
  <si>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</si>
  <si>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</si>
  <si>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</si>
  <si>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</si>
  <si>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</si>
  <si>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</si>
  <si>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</si>
  <si>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</si>
  <si>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</si>
  <si>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</si>
  <si>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</si>
  <si>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</si>
  <si>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</si>
  <si>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</si>
  <si>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</si>
  <si>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</si>
  <si>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</si>
  <si>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</si>
  <si>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</si>
  <si>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</si>
  <si>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</si>
  <si>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</si>
  <si>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</si>
  <si>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</si>
  <si>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</si>
  <si>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</si>
  <si>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</si>
  <si>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</si>
  <si>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</si>
  <si>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</si>
  <si>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</si>
  <si>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</si>
  <si>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</si>
  <si>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</si>
  <si>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</si>
  <si>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</si>
  <si>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</si>
  <si>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</si>
  <si>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</si>
  <si>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</si>
  <si>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</si>
  <si>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</si>
  <si>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</si>
  <si>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</si>
  <si>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</si>
  <si>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</si>
  <si>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</si>
  <si>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</si>
  <si>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</si>
  <si>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</si>
  <si>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</si>
  <si>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</si>
  <si>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</si>
  <si>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</si>
  <si>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</si>
  <si>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</si>
  <si>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</si>
  <si>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</si>
  <si>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</si>
  <si>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</si>
  <si>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</si>
  <si>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</si>
  <si>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</si>
  <si>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</si>
  <si>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</si>
  <si>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</si>
  <si>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</si>
  <si>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</si>
  <si>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</si>
  <si>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</si>
  <si>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</si>
  <si>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</si>
  <si>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</si>
  <si>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</si>
  <si>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</si>
  <si>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</si>
  <si>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</si>
  <si>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</si>
  <si>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</si>
  <si>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</si>
  <si>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</si>
  <si>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</si>
  <si>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</si>
  <si>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</si>
  <si>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</si>
  <si>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</si>
  <si>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</si>
  <si>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</si>
  <si>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</si>
  <si>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</si>
  <si>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</si>
  <si>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</si>
  <si>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</si>
  <si>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</si>
  <si>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</si>
  <si>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</si>
  <si>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</si>
  <si>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</si>
  <si>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</si>
  <si>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</si>
  <si>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</si>
  <si>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</si>
  <si>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</si>
  <si>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</si>
  <si>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</si>
  <si>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</si>
  <si>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</si>
  <si>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</si>
  <si>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</si>
  <si>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</si>
  <si>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</si>
  <si>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</si>
  <si>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</si>
  <si>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</si>
  <si>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</si>
  <si>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</si>
  <si>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</si>
  <si>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</si>
  <si>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</si>
  <si>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</si>
  <si>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</si>
  <si>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</si>
  <si>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</si>
  <si>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</si>
  <si>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</si>
  <si>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</si>
  <si>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</si>
  <si>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</si>
  <si>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</si>
  <si>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</si>
  <si>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</si>
  <si>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</si>
  <si>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</si>
  <si>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</si>
  <si>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</si>
  <si>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</si>
  <si>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</si>
  <si>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</si>
  <si>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</si>
  <si>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</si>
  <si>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</si>
  <si>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</si>
  <si>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</si>
  <si>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</si>
  <si>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</si>
  <si>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</si>
  <si>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</si>
  <si>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</si>
  <si>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</si>
  <si>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</si>
  <si>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</si>
  <si>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</si>
  <si>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</si>
  <si>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</si>
  <si>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</si>
  <si>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</si>
  <si>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</si>
  <si>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</si>
  <si>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</si>
  <si>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</si>
  <si>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</si>
  <si>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</si>
  <si>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</si>
  <si>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</si>
  <si>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</si>
  <si>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</si>
  <si>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</si>
  <si>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</si>
  <si>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</si>
  <si>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</si>
  <si>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</si>
  <si>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</si>
  <si>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</si>
  <si>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</si>
  <si>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</si>
  <si>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</si>
  <si>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</si>
  <si>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</si>
  <si>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</si>
  <si>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</si>
  <si>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</si>
  <si>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</si>
  <si>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</si>
  <si>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</si>
  <si>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</si>
  <si>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</si>
  <si>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</si>
  <si>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</si>
  <si>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</si>
  <si>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</si>
  <si>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</si>
  <si>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</si>
  <si>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</si>
  <si>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</si>
  <si>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</si>
  <si>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</si>
  <si>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</si>
  <si>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</si>
  <si>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</si>
  <si>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</si>
  <si>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</si>
  <si>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</si>
  <si>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</si>
  <si>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</si>
  <si>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</si>
  <si>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</si>
  <si>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</si>
  <si>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</si>
  <si>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</si>
  <si>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</si>
  <si>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</si>
  <si>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</si>
  <si>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</si>
  <si>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</si>
  <si>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</si>
  <si>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</si>
  <si>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</si>
  <si>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</si>
  <si>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</si>
  <si>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</si>
  <si>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</si>
  <si>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</si>
  <si>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</si>
  <si>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</si>
  <si>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</si>
  <si>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</si>
  <si>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</si>
  <si>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</si>
  <si>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</si>
  <si>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</si>
  <si>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</si>
  <si>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</si>
  <si>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</si>
  <si>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</si>
  <si>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</si>
  <si>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</si>
  <si>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</si>
  <si>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</si>
  <si>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</si>
  <si>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</si>
  <si>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</si>
  <si>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</si>
  <si>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</si>
  <si>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</si>
  <si>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</si>
  <si>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</si>
  <si>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</si>
  <si>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</si>
  <si>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</si>
  <si>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</si>
  <si>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</si>
  <si>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</si>
  <si>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</si>
  <si>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</si>
  <si>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</si>
  <si>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</si>
  <si>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</si>
  <si>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</si>
  <si>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</si>
  <si>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</si>
  <si>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</si>
  <si>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</si>
  <si>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</si>
  <si>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</si>
  <si>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</si>
  <si>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</si>
  <si>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</si>
  <si>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</si>
  <si>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</si>
  <si>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</si>
  <si>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</si>
  <si>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</si>
  <si>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</si>
  <si>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</si>
  <si>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</si>
  <si>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</si>
  <si>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</si>
  <si>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</si>
  <si>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</si>
  <si>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</si>
  <si>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</si>
  <si>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</si>
  <si>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</si>
  <si>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</si>
  <si>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</si>
  <si>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</si>
  <si>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</si>
  <si>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</si>
  <si>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</si>
  <si>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</si>
  <si>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</si>
  <si>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</si>
  <si>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</si>
  <si>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</si>
  <si>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</si>
  <si>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</si>
  <si>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</si>
  <si>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</si>
  <si>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</si>
  <si>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</si>
  <si>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</si>
  <si>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</si>
  <si>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</si>
  <si>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</si>
  <si>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</si>
  <si>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</si>
  <si>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</si>
  <si>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</si>
  <si>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</si>
  <si>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</si>
  <si>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</si>
  <si>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</si>
  <si>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</si>
  <si>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</si>
  <si>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</si>
  <si>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</si>
  <si>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</si>
  <si>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</si>
  <si>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</si>
  <si>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</si>
  <si>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</si>
  <si>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</si>
  <si>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</si>
  <si>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</si>
  <si>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</si>
  <si>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</si>
  <si>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</si>
  <si>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</si>
  <si>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</si>
  <si>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</si>
  <si>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</si>
  <si>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</si>
  <si>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</si>
  <si>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</si>
  <si>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</si>
  <si>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</si>
  <si>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</si>
  <si>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</si>
  <si>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</si>
  <si>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</si>
  <si>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</si>
  <si>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</si>
  <si>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</si>
  <si>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</si>
  <si>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</si>
  <si>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</si>
  <si>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</si>
  <si>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</si>
  <si>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</si>
  <si>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</si>
  <si>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</si>
  <si>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</si>
  <si>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</si>
  <si>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</si>
  <si>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</si>
  <si>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</si>
  <si>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</si>
  <si>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</si>
  <si>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</si>
  <si>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</si>
  <si>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</si>
  <si>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</si>
  <si>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</si>
  <si>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</si>
  <si>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</si>
  <si>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</si>
  <si>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</si>
  <si>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</si>
  <si>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</si>
  <si>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</si>
  <si>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</si>
  <si>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</si>
  <si>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</si>
  <si>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</si>
  <si>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</si>
  <si>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</si>
  <si>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</si>
  <si>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</si>
  <si>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</si>
  <si>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</si>
  <si>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</si>
  <si>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</si>
  <si>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</si>
  <si>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</si>
  <si>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</si>
  <si>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</si>
  <si>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</si>
  <si>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</si>
  <si>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</si>
  <si>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</si>
  <si>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</si>
  <si>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</si>
  <si>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</si>
  <si>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</si>
  <si>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</si>
  <si>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</si>
  <si>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</si>
  <si>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</si>
  <si>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</si>
  <si>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</si>
  <si>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</si>
  <si>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</si>
  <si>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</si>
  <si>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</si>
  <si>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</si>
  <si>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</si>
  <si>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</si>
  <si>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</si>
  <si>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</si>
  <si>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</si>
  <si>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</si>
  <si>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</si>
  <si>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</si>
  <si>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</si>
  <si>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</si>
  <si>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</si>
  <si>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</si>
  <si>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</si>
  <si>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</si>
  <si>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</si>
  <si>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</si>
  <si>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</si>
  <si>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</si>
  <si>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</si>
  <si>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</si>
  <si>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</si>
  <si>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</si>
  <si>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</si>
  <si>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</si>
  <si>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</si>
  <si>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</si>
  <si>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</si>
  <si>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</si>
  <si>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</si>
  <si>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</si>
  <si>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</si>
  <si>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</si>
  <si>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</si>
  <si>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</si>
  <si>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</si>
  <si>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</si>
  <si>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</si>
  <si>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</si>
  <si>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</si>
  <si>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</si>
  <si>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</si>
  <si>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</si>
  <si>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</si>
  <si>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</si>
  <si>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</si>
  <si>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</si>
  <si>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</si>
  <si>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</si>
  <si>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</si>
  <si>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</si>
  <si>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</si>
  <si>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</si>
  <si>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</si>
  <si>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</si>
  <si>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</si>
  <si>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</si>
  <si>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</si>
  <si>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</si>
  <si>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</si>
  <si>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</si>
  <si>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</si>
  <si>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</si>
  <si>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</si>
  <si>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</si>
  <si>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</si>
  <si>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</si>
  <si>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</si>
  <si>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</si>
  <si>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</si>
  <si>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</si>
  <si>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</si>
  <si>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</si>
  <si>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</si>
  <si>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</si>
  <si>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</si>
  <si>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</si>
  <si>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</si>
  <si>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</si>
  <si>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</si>
  <si>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</si>
  <si>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</si>
  <si>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</si>
  <si>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</si>
  <si>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</si>
  <si>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</si>
  <si>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</si>
  <si>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</si>
  <si>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</si>
  <si>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</si>
  <si>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</si>
  <si>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</si>
  <si>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</si>
  <si>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</si>
  <si>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</si>
  <si>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</si>
  <si>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</si>
  <si>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</si>
  <si>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</si>
  <si>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</si>
  <si>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</si>
  <si>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</si>
  <si>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</si>
  <si>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</si>
  <si>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</si>
  <si>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</si>
  <si>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</si>
  <si>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</si>
  <si>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</si>
  <si>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</si>
  <si>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</si>
  <si>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</si>
  <si>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</si>
  <si>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</si>
  <si>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</si>
  <si>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</si>
  <si>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</si>
  <si>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</si>
  <si>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</si>
  <si>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</si>
  <si>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</si>
  <si>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</si>
  <si>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</si>
  <si>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</si>
  <si>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</si>
  <si>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</si>
  <si>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</si>
  <si>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</si>
  <si>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</si>
  <si>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</si>
  <si>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</si>
  <si>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</si>
  <si>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</si>
  <si>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</si>
  <si>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</si>
  <si>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</si>
  <si>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</si>
  <si>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</si>
  <si>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</si>
  <si>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</si>
  <si>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</si>
  <si>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</si>
  <si>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</si>
  <si>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</si>
  <si>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</si>
  <si>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</si>
  <si>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</si>
  <si>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</si>
  <si>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</si>
  <si>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</si>
  <si>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</si>
  <si>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</si>
  <si>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</si>
  <si>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</si>
  <si>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</si>
  <si>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</si>
  <si>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</si>
  <si>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</si>
  <si>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</si>
  <si>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</si>
  <si>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</si>
  <si>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</si>
  <si>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</si>
  <si>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</si>
  <si>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</si>
  <si>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</si>
  <si>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</si>
  <si>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</si>
  <si>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</si>
  <si>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</si>
  <si>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</si>
  <si>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</si>
  <si>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</si>
  <si>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</si>
  <si>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</si>
  <si>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</si>
  <si>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</si>
  <si>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</si>
  <si>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</si>
  <si>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</si>
  <si>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</si>
  <si>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</si>
  <si>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</si>
  <si>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</si>
  <si>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</si>
  <si>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</si>
  <si>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</si>
  <si>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</si>
  <si>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</si>
  <si>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</si>
  <si>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</si>
  <si>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</si>
  <si>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</si>
  <si>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</si>
  <si>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</si>
  <si>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</si>
  <si>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</si>
  <si>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</si>
  <si>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</si>
  <si>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</si>
  <si>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</si>
  <si>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</si>
  <si>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</si>
  <si>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</si>
  <si>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</si>
  <si>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</si>
  <si>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</si>
  <si>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</si>
  <si>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</si>
  <si>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</si>
  <si>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</si>
  <si>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</si>
  <si>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</si>
  <si>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</si>
  <si>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</si>
  <si>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</si>
  <si>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</si>
  <si>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</si>
  <si>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</si>
  <si>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</si>
  <si>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</si>
  <si>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</si>
  <si>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</si>
  <si>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</si>
  <si>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</si>
  <si>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</si>
  <si>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</si>
  <si>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</si>
  <si>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</si>
  <si>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</si>
  <si>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</si>
  <si>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</si>
  <si>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</si>
  <si>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</si>
  <si>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</si>
  <si>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</si>
  <si>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</si>
  <si>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</si>
  <si>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</si>
  <si>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</si>
  <si>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</si>
  <si>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</si>
  <si>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</si>
  <si>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</si>
  <si>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</si>
  <si>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</si>
  <si>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</si>
  <si>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</si>
  <si>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</si>
  <si>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</si>
  <si>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</si>
  <si>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</si>
  <si>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</si>
  <si>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</si>
  <si>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</si>
  <si>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</si>
  <si>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</si>
  <si>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</si>
  <si>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</si>
  <si>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</si>
  <si>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</si>
  <si>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</si>
  <si>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</si>
  <si>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</si>
  <si>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</si>
  <si>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</si>
  <si>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</si>
  <si>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</si>
  <si>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</si>
  <si>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</si>
  <si>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</si>
  <si>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</si>
  <si>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</si>
  <si>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</si>
  <si>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</si>
  <si>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</si>
  <si>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</si>
  <si>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</si>
  <si>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</si>
  <si>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</si>
  <si>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</si>
  <si>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</si>
  <si>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</si>
  <si>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</si>
  <si>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</si>
  <si>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</si>
  <si>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</si>
  <si>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</si>
  <si>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</si>
  <si>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</si>
  <si>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</si>
  <si>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</si>
  <si>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</si>
  <si>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</si>
  <si>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</si>
  <si>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</si>
  <si>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</si>
  <si>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</si>
  <si>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</si>
  <si>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</si>
  <si>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</si>
  <si>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</si>
  <si>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</si>
  <si>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</si>
  <si>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</si>
  <si>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</si>
  <si>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</si>
  <si>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</si>
  <si>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</si>
  <si>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</si>
  <si>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</si>
  <si>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</si>
  <si>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</si>
  <si>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</si>
  <si>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</si>
  <si>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</si>
  <si>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</si>
  <si>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</si>
  <si>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</si>
  <si>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</si>
  <si>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</si>
  <si>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</si>
  <si>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</si>
  <si>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</si>
  <si>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</si>
  <si>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</si>
  <si>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</si>
  <si>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</si>
  <si>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</si>
  <si>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</si>
  <si>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</si>
  <si>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</si>
  <si>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</si>
  <si>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</si>
  <si>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</si>
  <si>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</si>
  <si>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</si>
  <si>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</si>
  <si>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</si>
  <si>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</si>
  <si>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</si>
  <si>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</si>
  <si>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</si>
  <si>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</si>
  <si>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</si>
  <si>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</si>
  <si>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</si>
  <si>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</si>
  <si>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</si>
  <si>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</si>
  <si>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</si>
  <si>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</si>
  <si>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</si>
  <si>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</si>
  <si>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</si>
  <si>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</si>
  <si>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</si>
  <si>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</si>
  <si>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</si>
  <si>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</si>
  <si>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</si>
  <si>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</si>
  <si>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</si>
  <si>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</si>
  <si>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</si>
  <si>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</si>
  <si>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</si>
  <si>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</si>
  <si>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</si>
  <si>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</si>
  <si>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</si>
  <si>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</si>
  <si>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</si>
  <si>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</si>
  <si>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</si>
  <si>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</si>
  <si>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</si>
  <si>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</si>
  <si>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</si>
  <si>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</si>
  <si>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</si>
  <si>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</si>
  <si>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</si>
  <si>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</si>
  <si>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</si>
  <si>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</si>
  <si>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</si>
  <si>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</si>
  <si>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</si>
  <si>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</si>
  <si>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</si>
  <si>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</si>
  <si>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</si>
  <si>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</si>
  <si>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</si>
  <si>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</si>
  <si>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</si>
  <si>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</si>
  <si>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</si>
  <si>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</si>
  <si>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</si>
  <si>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</si>
  <si>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</si>
  <si>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</si>
  <si>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</si>
  <si>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</si>
  <si>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</si>
  <si>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</si>
  <si>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</si>
  <si>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</si>
  <si>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</si>
  <si>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</si>
  <si>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</si>
  <si>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</si>
  <si>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</si>
  <si>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</si>
  <si>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</si>
  <si>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</si>
  <si>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</si>
  <si>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</si>
  <si>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</si>
  <si>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</si>
  <si>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</si>
  <si>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</si>
  <si>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</si>
  <si>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</si>
  <si>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</si>
  <si>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</si>
  <si>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</si>
  <si>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</si>
  <si>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</si>
  <si>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</si>
  <si>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</si>
  <si>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</si>
  <si>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</si>
  <si>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</si>
  <si>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</si>
  <si>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</si>
  <si>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</si>
  <si>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</si>
  <si>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</si>
  <si>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</si>
  <si>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</si>
  <si>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</si>
  <si>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</si>
  <si>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</si>
  <si>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</si>
  <si>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</si>
  <si>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</si>
  <si>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</si>
  <si>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</si>
  <si>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</si>
  <si>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</si>
  <si>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</si>
  <si>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</si>
  <si>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</si>
  <si>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</si>
  <si>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</si>
  <si>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</si>
  <si>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</si>
  <si>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</si>
  <si>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</si>
  <si>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</si>
  <si>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</si>
  <si>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</si>
  <si>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</si>
  <si>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</si>
  <si>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</si>
  <si>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</si>
  <si>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</si>
  <si>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</si>
  <si>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</si>
  <si>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</si>
  <si>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</si>
  <si>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</si>
  <si>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</si>
  <si>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</si>
  <si>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</si>
  <si>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</si>
  <si>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</si>
  <si>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</si>
  <si>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</si>
  <si>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</si>
  <si>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</si>
  <si>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</si>
  <si>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</si>
  <si>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</si>
  <si>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</si>
  <si>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</si>
  <si>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</si>
  <si>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</si>
  <si>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</si>
  <si>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</si>
  <si>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</si>
  <si>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</si>
  <si>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</si>
  <si>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</si>
  <si>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</si>
  <si>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</si>
  <si>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</si>
  <si>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</si>
  <si>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</si>
  <si>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</si>
  <si>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</si>
  <si>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</si>
  <si>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</si>
  <si>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</si>
  <si>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</si>
  <si>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</si>
  <si>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</si>
  <si>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</si>
  <si>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</si>
  <si>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</si>
  <si>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</si>
  <si>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</si>
  <si>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</si>
  <si>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</si>
  <si>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</si>
  <si>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</si>
  <si>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</si>
  <si>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</si>
  <si>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</si>
  <si>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</si>
  <si>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</si>
  <si>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</si>
  <si>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</si>
  <si>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</si>
  <si>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</si>
  <si>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</si>
  <si>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</si>
  <si>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</si>
  <si>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</si>
  <si>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</si>
  <si>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</si>
  <si>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</si>
  <si>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</si>
  <si>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</si>
  <si>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</si>
  <si>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</si>
  <si>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</si>
  <si>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</si>
  <si>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</si>
  <si>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</si>
  <si>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</si>
  <si>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</si>
  <si>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</si>
  <si>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</si>
  <si>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</si>
  <si>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</si>
  <si>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</si>
  <si>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</si>
  <si>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</si>
  <si>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</si>
  <si>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</si>
  <si>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</si>
  <si>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</si>
  <si>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</si>
  <si>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</si>
  <si>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</si>
  <si>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</si>
  <si>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</si>
  <si>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</si>
  <si>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</si>
  <si>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</si>
  <si>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</si>
  <si>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</si>
  <si>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</si>
  <si>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</si>
  <si>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</si>
  <si>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</si>
  <si>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</si>
  <si>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</si>
  <si>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</si>
  <si>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</si>
  <si>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</si>
  <si>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</si>
  <si>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</si>
  <si>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</si>
  <si>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</si>
  <si>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</si>
  <si>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</si>
  <si>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</si>
  <si>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</si>
  <si>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</si>
  <si>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</si>
  <si>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</si>
  <si>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</si>
  <si>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</si>
  <si>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</si>
  <si>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</si>
  <si>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</si>
  <si>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</si>
  <si>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</si>
  <si>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</si>
  <si>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</si>
  <si>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</si>
  <si>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</si>
  <si>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</si>
  <si>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</si>
  <si>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</si>
  <si>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</si>
  <si>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</si>
  <si>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</si>
  <si>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</si>
  <si>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</si>
  <si>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</si>
  <si>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</si>
  <si>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</si>
  <si>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</si>
  <si>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</si>
  <si>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</si>
  <si>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</si>
  <si>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</si>
  <si>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</si>
  <si>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</si>
  <si>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</si>
  <si>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</si>
  <si>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</si>
  <si>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</si>
  <si>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</si>
  <si>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</si>
  <si>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</si>
  <si>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</si>
  <si>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</si>
  <si>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</si>
  <si>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</si>
  <si>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</si>
  <si>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</si>
  <si>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</si>
  <si>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</si>
  <si>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</si>
  <si>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</si>
  <si>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</si>
  <si>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</si>
  <si>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</si>
  <si>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</si>
  <si>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</si>
  <si>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</si>
  <si>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</si>
  <si>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</si>
  <si>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</si>
  <si>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</si>
  <si>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</si>
  <si>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</si>
  <si>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</si>
  <si>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</si>
  <si>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</si>
  <si>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</si>
  <si>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</si>
  <si>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</si>
  <si>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</si>
  <si>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</si>
  <si>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</si>
  <si>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</si>
  <si>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</si>
  <si>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</si>
  <si>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</si>
  <si>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</si>
  <si>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</si>
  <si>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</si>
  <si>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</si>
  <si>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</si>
  <si>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</si>
  <si>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</si>
  <si>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</si>
  <si>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</si>
  <si>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</si>
  <si>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</si>
  <si>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</si>
  <si>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</si>
  <si>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</si>
  <si>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</si>
  <si>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</si>
  <si>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</si>
  <si>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</si>
  <si>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</si>
  <si>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</si>
  <si>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</si>
  <si>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</si>
  <si>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</si>
  <si>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</si>
  <si>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</si>
  <si>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</si>
  <si>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</si>
  <si>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</si>
  <si>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</si>
  <si>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</si>
  <si>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</si>
  <si>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</si>
  <si>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</si>
  <si>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</si>
  <si>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</si>
  <si>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</si>
  <si>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</si>
  <si>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</si>
  <si>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</si>
  <si>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</si>
  <si>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</si>
  <si>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</si>
  <si>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</si>
  <si>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</si>
  <si>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</si>
  <si>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</si>
  <si>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</si>
  <si>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</si>
  <si>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</si>
  <si>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</si>
  <si>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</si>
  <si>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</si>
  <si>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</si>
  <si>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</si>
  <si>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</si>
  <si>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</si>
  <si>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</si>
  <si>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</si>
  <si>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</si>
  <si>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</si>
  <si>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</si>
  <si>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</si>
  <si>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</si>
  <si>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</si>
  <si>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</si>
  <si>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</si>
  <si>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</si>
  <si>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</si>
  <si>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</si>
  <si>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</si>
  <si>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</si>
  <si>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</si>
  <si>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</si>
  <si>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</si>
  <si>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</si>
  <si>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</si>
  <si>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</si>
  <si>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</si>
  <si>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</si>
  <si>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</si>
  <si>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</si>
  <si>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</si>
  <si>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</si>
  <si>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</si>
  <si>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</si>
  <si>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</si>
  <si>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</si>
  <si>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</si>
  <si>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</si>
  <si>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</si>
  <si>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</si>
  <si>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</si>
  <si>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</si>
  <si>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</si>
  <si>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</si>
  <si>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</si>
  <si>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</si>
  <si>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</si>
  <si>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</si>
  <si>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</si>
  <si>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</si>
  <si>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</si>
  <si>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</si>
  <si>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</si>
  <si>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</si>
  <si>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</si>
  <si>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</si>
  <si>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</si>
  <si>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</si>
  <si>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</si>
  <si>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</si>
  <si>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</si>
  <si>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</si>
  <si>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</si>
  <si>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</si>
  <si>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</si>
  <si>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</si>
  <si>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</si>
  <si>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</si>
  <si>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</si>
  <si>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</si>
  <si>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</si>
  <si>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</si>
  <si>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</si>
  <si>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</si>
  <si>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</si>
  <si>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</si>
  <si>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</si>
  <si>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</si>
  <si>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</si>
  <si>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</si>
  <si>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</si>
  <si>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</si>
  <si>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</si>
  <si>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</si>
  <si>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</si>
  <si>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</si>
  <si>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</si>
  <si>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</si>
  <si>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</si>
  <si>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</si>
  <si>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</si>
  <si>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</si>
  <si>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</si>
  <si>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</si>
  <si>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</si>
  <si>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</si>
  <si>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</si>
  <si>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</si>
  <si>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</si>
  <si>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</si>
  <si>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</si>
  <si>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</si>
  <si>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</si>
  <si>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</si>
  <si>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</si>
  <si>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</si>
  <si>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</si>
  <si>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</si>
  <si>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</si>
  <si>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</si>
  <si>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</si>
  <si>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</si>
  <si>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</si>
  <si>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</si>
  <si>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</si>
  <si>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</si>
  <si>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</si>
  <si>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</si>
  <si>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</si>
  <si>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</si>
  <si>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</si>
  <si>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</si>
  <si>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</si>
  <si>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</si>
  <si>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</si>
  <si>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</si>
  <si>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</si>
  <si>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</si>
  <si>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</si>
  <si>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</si>
  <si>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</si>
  <si>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</si>
  <si>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</si>
  <si>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</si>
  <si>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</si>
  <si>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</si>
  <si>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</si>
  <si>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</si>
  <si>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</si>
  <si>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</si>
  <si>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</si>
  <si>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</si>
  <si>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</si>
  <si>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</si>
  <si>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</si>
  <si>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</si>
  <si>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</si>
  <si>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</si>
  <si>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</si>
  <si>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</si>
  <si>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</si>
  <si>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</si>
  <si>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</si>
  <si>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</si>
  <si>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</si>
  <si>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</si>
  <si>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</si>
  <si>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</si>
  <si>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</si>
  <si>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</si>
  <si>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</si>
  <si>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</si>
  <si>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</si>
  <si>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</si>
  <si>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</si>
  <si>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</si>
  <si>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</si>
  <si>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</si>
  <si>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</si>
  <si>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</si>
  <si>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</si>
  <si>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</si>
  <si>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</si>
  <si>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</si>
  <si>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</si>
  <si>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</si>
  <si>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</si>
  <si>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</si>
  <si>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</si>
  <si>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</si>
  <si>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</si>
  <si>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</si>
  <si>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</si>
  <si>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</si>
  <si>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</si>
  <si>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</si>
  <si>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</si>
  <si>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</si>
  <si>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</si>
  <si>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</si>
  <si>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</si>
  <si>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</si>
  <si>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</si>
  <si>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</si>
  <si>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</si>
  <si>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</si>
  <si>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</si>
  <si>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</si>
  <si>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</si>
  <si>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</si>
  <si>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</si>
  <si>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</si>
  <si>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</si>
  <si>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</si>
  <si>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</si>
  <si>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</si>
  <si>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</si>
  <si>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</si>
  <si>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</si>
  <si>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</si>
  <si>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</si>
  <si>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</si>
  <si>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</si>
  <si>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</si>
  <si>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</si>
  <si>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</si>
  <si>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</si>
  <si>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</si>
  <si>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</si>
  <si>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</si>
  <si>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</si>
  <si>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</si>
  <si>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</si>
  <si>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</si>
  <si>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</si>
  <si>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</si>
  <si>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</si>
  <si>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</si>
  <si>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</si>
  <si>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</si>
  <si>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</si>
  <si>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</si>
  <si>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</si>
  <si>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</si>
  <si>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</si>
  <si>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</si>
  <si>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</si>
  <si>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</si>
  <si>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</si>
  <si>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</si>
  <si>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</si>
  <si>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</si>
  <si>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</si>
  <si>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</si>
  <si>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</si>
  <si>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</si>
  <si>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</si>
  <si>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</si>
  <si>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</si>
  <si>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</si>
  <si>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</si>
  <si>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</si>
  <si>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</si>
  <si>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</si>
  <si>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</si>
  <si>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</si>
  <si>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</si>
  <si>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</si>
  <si>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</si>
  <si>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</si>
  <si>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</si>
  <si>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</si>
  <si>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</si>
  <si>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</si>
  <si>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</si>
  <si>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</si>
  <si>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</si>
  <si>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</si>
  <si>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</si>
  <si>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</si>
  <si>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</si>
  <si>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</si>
  <si>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</si>
  <si>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</si>
  <si>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</si>
  <si>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</si>
  <si>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</si>
  <si>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</si>
  <si>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</si>
  <si>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</si>
  <si>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</si>
  <si>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</si>
  <si>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</si>
  <si>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</si>
  <si>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</si>
  <si>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</si>
  <si>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</si>
  <si>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</si>
  <si>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</si>
  <si>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</si>
  <si>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</si>
  <si>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</si>
  <si>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</si>
  <si>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</si>
  <si>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</si>
  <si>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</si>
  <si>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</si>
  <si>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</si>
  <si>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</si>
  <si>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</si>
  <si>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</si>
  <si>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</si>
  <si>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</si>
  <si>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</si>
  <si>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</si>
  <si>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</si>
  <si>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</si>
  <si>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</si>
  <si>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</si>
  <si>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</si>
  <si>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</si>
  <si>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</si>
  <si>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</si>
  <si>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</si>
  <si>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</si>
  <si>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</si>
  <si>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</si>
  <si>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</si>
  <si>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</si>
  <si>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</si>
  <si>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</si>
  <si>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</si>
  <si>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</si>
  <si>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</si>
  <si>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</si>
  <si>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</si>
  <si>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</si>
  <si>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</si>
  <si>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</si>
  <si>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</si>
  <si>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</si>
  <si>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</si>
  <si>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</si>
  <si>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</si>
  <si>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</si>
  <si>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</si>
  <si>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</si>
  <si>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</si>
  <si>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</si>
  <si>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</si>
  <si>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</si>
  <si>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</si>
  <si>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</si>
  <si>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</si>
  <si>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</si>
  <si>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</si>
  <si>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</si>
  <si>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</si>
  <si>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</si>
  <si>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</si>
  <si>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</si>
  <si>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</si>
  <si>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</si>
  <si>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</si>
  <si>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</si>
  <si>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</si>
  <si>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</si>
  <si>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</si>
  <si>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</si>
  <si>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</si>
  <si>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</si>
  <si>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</si>
  <si>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</si>
  <si>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</si>
  <si>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</si>
  <si>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</si>
  <si>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</si>
  <si>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</si>
  <si>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</si>
  <si>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</si>
  <si>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</si>
  <si>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</si>
  <si>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</si>
  <si>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</si>
  <si>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</si>
  <si>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</si>
  <si>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</si>
  <si>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</si>
  <si>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</si>
  <si>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</si>
  <si>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</si>
  <si>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</si>
  <si>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</si>
  <si>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</si>
  <si>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</si>
  <si>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</si>
  <si>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</si>
  <si>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</si>
  <si>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</si>
  <si>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</si>
  <si>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</si>
  <si>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</si>
  <si>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</si>
  <si>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</si>
  <si>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</si>
  <si>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</si>
  <si>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</si>
  <si>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</si>
  <si>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</si>
  <si>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</si>
  <si>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</si>
  <si>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</si>
  <si>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</si>
  <si>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</si>
  <si>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</si>
  <si>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</si>
  <si>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</si>
  <si>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</si>
  <si>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</si>
  <si>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</si>
  <si>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</si>
  <si>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</si>
  <si>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</si>
  <si>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</si>
  <si>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</si>
  <si>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</si>
  <si>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</si>
  <si>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</si>
  <si>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</si>
  <si>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</si>
  <si>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</si>
  <si>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</si>
  <si>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</si>
  <si>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</si>
  <si>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</si>
  <si>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</si>
  <si>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</si>
  <si>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</si>
  <si>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</si>
  <si>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</si>
  <si>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</si>
  <si>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</si>
  <si>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</si>
  <si>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</si>
  <si>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</si>
  <si>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</si>
  <si>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</si>
  <si>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</si>
  <si>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</si>
  <si>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</si>
  <si>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</si>
  <si>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</si>
  <si>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</si>
  <si>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</si>
  <si>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</si>
  <si>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</si>
  <si>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</si>
  <si>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</si>
  <si>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</si>
  <si>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</si>
  <si>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</si>
  <si>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</si>
  <si>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</si>
  <si>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</si>
  <si>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</si>
  <si>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</si>
  <si>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</si>
  <si>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</si>
  <si>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</si>
  <si>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</si>
  <si>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</si>
  <si>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</si>
  <si>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</si>
  <si>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</si>
  <si>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</si>
  <si>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</si>
  <si>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</si>
  <si>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</si>
  <si>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</si>
  <si>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</si>
  <si>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</si>
  <si>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</si>
  <si>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</si>
  <si>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</si>
  <si>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</si>
  <si>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</si>
  <si>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</si>
  <si>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</si>
  <si>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</si>
  <si>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</si>
  <si>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</si>
  <si>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</si>
  <si>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</si>
  <si>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</si>
  <si>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</si>
  <si>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</si>
  <si>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</si>
  <si>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</si>
  <si>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</si>
  <si>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</si>
  <si>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</si>
  <si>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</si>
  <si>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</si>
  <si>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</si>
  <si>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</si>
  <si>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</si>
  <si>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</si>
  <si>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</si>
  <si>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</si>
  <si>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</si>
  <si>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</si>
  <si>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</si>
  <si>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</si>
  <si>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</si>
  <si>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</si>
  <si>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</si>
  <si>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</si>
  <si>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</si>
  <si>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</si>
  <si>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</si>
  <si>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</si>
  <si>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</si>
  <si>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</si>
  <si>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</si>
  <si>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</si>
  <si>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</si>
  <si>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</si>
  <si>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</si>
  <si>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</si>
  <si>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</si>
  <si>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</si>
  <si>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</si>
  <si>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</si>
  <si>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</si>
  <si>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</si>
  <si>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</si>
  <si>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</si>
  <si>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</si>
  <si>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</si>
  <si>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</si>
  <si>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</si>
  <si>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</si>
  <si>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</si>
  <si>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</si>
  <si>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</si>
  <si>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</si>
  <si>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</si>
  <si>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</si>
  <si>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</si>
  <si>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</si>
  <si>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</si>
  <si>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</si>
  <si>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</si>
  <si>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</si>
  <si>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</si>
  <si>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</si>
  <si>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</si>
  <si>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</si>
  <si>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</si>
  <si>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</si>
  <si>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</si>
  <si>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</si>
  <si>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</si>
  <si>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</si>
  <si>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</si>
  <si>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</si>
  <si>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</si>
  <si>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</si>
  <si>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</si>
  <si>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</si>
  <si>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</si>
  <si>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</si>
  <si>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</si>
  <si>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</si>
  <si>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</si>
  <si>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</si>
  <si>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</si>
  <si>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</si>
  <si>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</si>
  <si>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</si>
  <si>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</si>
  <si>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</si>
  <si>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</si>
  <si>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</si>
  <si>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</si>
  <si>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</si>
  <si>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</si>
  <si>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</si>
  <si>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</si>
  <si>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</si>
  <si>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</si>
  <si>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</si>
  <si>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</si>
  <si>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</si>
  <si>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</si>
  <si>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</si>
  <si>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</si>
  <si>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</si>
  <si>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</si>
  <si>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</si>
  <si>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</si>
  <si>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</si>
  <si>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</si>
  <si>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</si>
  <si>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</si>
  <si>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</si>
  <si>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</si>
  <si>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</si>
  <si>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</si>
  <si>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</si>
  <si>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</si>
  <si>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</si>
  <si>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</si>
  <si>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</si>
  <si>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</si>
  <si>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</si>
  <si>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</si>
  <si>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</si>
  <si>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</si>
  <si>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</si>
  <si>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</si>
  <si>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</si>
  <si>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</si>
  <si>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</si>
  <si>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</si>
  <si>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</si>
  <si>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</si>
  <si>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</si>
  <si>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</si>
  <si>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</si>
  <si>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</si>
  <si>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</si>
  <si>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</si>
  <si>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</si>
  <si>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</si>
  <si>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</si>
  <si>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</si>
  <si>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</si>
  <si>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</si>
  <si>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</si>
  <si>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</si>
  <si>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</si>
  <si>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</si>
  <si>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</si>
  <si>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</si>
  <si>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</si>
  <si>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</si>
  <si>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</si>
  <si>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</si>
  <si>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</si>
  <si>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</si>
  <si>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</si>
  <si>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</si>
  <si>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</si>
  <si>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</si>
  <si>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</si>
  <si>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</si>
  <si>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</si>
  <si>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</si>
  <si>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</si>
  <si>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</si>
  <si>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</si>
  <si>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</si>
  <si>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</si>
  <si>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</si>
  <si>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</si>
  <si>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</si>
  <si>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</si>
  <si>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</si>
  <si>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</si>
  <si>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</si>
  <si>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</si>
  <si>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</si>
  <si>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</si>
  <si>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</si>
  <si>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</si>
  <si>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</si>
  <si>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</si>
  <si>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</si>
  <si>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</si>
  <si>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</si>
  <si>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</si>
  <si>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</si>
  <si>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</si>
  <si>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</si>
  <si>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</si>
  <si>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</si>
  <si>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</si>
  <si>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</si>
  <si>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</si>
  <si>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</si>
  <si>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</si>
  <si>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</si>
  <si>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</si>
  <si>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</si>
  <si>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</si>
  <si>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</si>
  <si>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</si>
  <si>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</si>
  <si>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</si>
  <si>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</si>
  <si>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</si>
  <si>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</si>
  <si>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</si>
  <si>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</si>
  <si>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</si>
  <si>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</si>
  <si>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</si>
  <si>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</si>
  <si>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</si>
  <si>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</si>
  <si>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</si>
  <si>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</si>
  <si>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</si>
  <si>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</si>
  <si>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</si>
  <si>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</si>
  <si>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</si>
  <si>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</si>
  <si>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</si>
  <si>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</si>
  <si>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</si>
  <si>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</si>
  <si>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</si>
  <si>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</si>
  <si>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</si>
  <si>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</si>
  <si>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</si>
  <si>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</si>
  <si>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</si>
  <si>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</si>
  <si>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</si>
  <si>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</si>
  <si>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</si>
  <si>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</si>
  <si>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</si>
  <si>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</si>
  <si>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</si>
  <si>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</si>
  <si>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</si>
  <si>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</si>
  <si>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</si>
  <si>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</si>
  <si>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</si>
  <si>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</si>
  <si>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</si>
  <si>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</si>
  <si>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</si>
  <si>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</si>
  <si>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</si>
  <si>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</si>
  <si>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</si>
  <si>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</si>
  <si>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</si>
  <si>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</si>
  <si>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</si>
  <si>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</si>
  <si>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</si>
  <si>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</si>
  <si>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</si>
  <si>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</si>
  <si>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</si>
  <si>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</si>
  <si>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</si>
  <si>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</si>
  <si>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</si>
  <si>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</si>
  <si>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</si>
  <si>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</si>
  <si>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</si>
  <si>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</si>
  <si>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</si>
  <si>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</si>
  <si>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</si>
  <si>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</si>
  <si>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</si>
  <si>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</si>
  <si>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</si>
  <si>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</si>
  <si>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</si>
  <si>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</si>
  <si>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</si>
  <si>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</si>
  <si>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</si>
  <si>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</si>
  <si>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</si>
  <si>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</si>
  <si>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</si>
  <si>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</si>
  <si>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</si>
  <si>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</si>
  <si>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</si>
  <si>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</si>
  <si>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</si>
  <si>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</si>
  <si>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</si>
  <si>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</si>
  <si>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</si>
  <si>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</si>
  <si>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</si>
  <si>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</si>
  <si>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</si>
  <si>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</si>
  <si>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</si>
  <si>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</si>
  <si>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</si>
  <si>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</si>
  <si>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</si>
  <si>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</si>
  <si>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</si>
  <si>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</si>
  <si>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</si>
  <si>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</si>
  <si>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</si>
  <si>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</si>
  <si>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</si>
  <si>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</si>
  <si>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</si>
  <si>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</si>
  <si>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</si>
  <si>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</si>
  <si>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</si>
  <si>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</si>
  <si>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</si>
  <si>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</si>
  <si>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</si>
  <si>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</si>
  <si>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</si>
  <si>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</si>
  <si>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</si>
  <si>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</si>
  <si>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</si>
  <si>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</si>
  <si>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</si>
  <si>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</si>
  <si>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</si>
  <si>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</si>
  <si>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</si>
  <si>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</si>
  <si>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</si>
  <si>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</si>
  <si>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</si>
  <si>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</si>
  <si>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</si>
  <si>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</si>
  <si>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</si>
  <si>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</si>
  <si>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</si>
  <si>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</si>
  <si>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</si>
  <si>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</si>
  <si>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</si>
  <si>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</si>
  <si>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</si>
  <si>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</si>
  <si>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</si>
  <si>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</si>
  <si>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</si>
  <si>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</si>
  <si>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</si>
  <si>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</si>
  <si>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</si>
  <si>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</si>
  <si>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</si>
  <si>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</si>
  <si>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</si>
  <si>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</si>
  <si>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</si>
  <si>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</si>
  <si>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</si>
  <si>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</si>
  <si>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</si>
  <si>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</si>
  <si>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</si>
  <si>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</si>
  <si>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</si>
  <si>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</si>
  <si>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</si>
  <si>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</si>
  <si>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</si>
  <si>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</si>
  <si>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</si>
  <si>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</si>
  <si>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</si>
  <si>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</si>
  <si>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</si>
  <si>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</si>
  <si>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</si>
  <si>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</si>
  <si>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</si>
  <si>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</si>
  <si>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</si>
  <si>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</si>
  <si>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</si>
  <si>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</si>
  <si>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</si>
  <si>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</si>
  <si>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</si>
  <si>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</si>
  <si>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</si>
  <si>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</si>
  <si>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</si>
  <si>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</si>
  <si>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</si>
  <si>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</si>
  <si>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</si>
  <si>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</si>
  <si>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</si>
  <si>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</si>
  <si>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</si>
  <si>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</si>
  <si>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</si>
  <si>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</si>
  <si>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</si>
  <si>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</si>
  <si>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</si>
  <si>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</si>
  <si>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</si>
  <si>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</si>
  <si>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</si>
  <si>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</si>
  <si>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</si>
  <si>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</si>
  <si>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</si>
  <si>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</si>
  <si>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</si>
  <si>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</si>
  <si>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</si>
  <si>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</si>
  <si>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</si>
  <si>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</si>
  <si>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</si>
  <si>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</si>
  <si>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</si>
  <si>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</si>
  <si>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</si>
  <si>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</si>
  <si>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</si>
  <si>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</si>
  <si>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</si>
  <si>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</si>
  <si>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</si>
  <si>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</si>
  <si>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</si>
  <si>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</si>
  <si>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</si>
  <si>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</si>
  <si>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</si>
  <si>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</si>
  <si>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</si>
  <si>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</si>
  <si>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</si>
  <si>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</si>
  <si>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</si>
  <si>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</si>
  <si>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</si>
  <si>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</si>
  <si>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</si>
  <si>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</si>
  <si>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</si>
  <si>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</si>
  <si>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</si>
  <si>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</si>
  <si>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</si>
  <si>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</si>
  <si>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</si>
  <si>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</si>
  <si>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</si>
  <si>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</si>
  <si>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</si>
  <si>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</si>
  <si>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</si>
  <si>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</si>
  <si>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</si>
  <si>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</si>
  <si>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</si>
  <si>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</si>
  <si>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</si>
  <si>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</si>
  <si>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</si>
  <si>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</si>
  <si>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</si>
  <si>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</si>
  <si>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</si>
  <si>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</si>
  <si>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</si>
  <si>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</si>
  <si>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</si>
  <si>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</si>
  <si>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</si>
  <si>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</si>
  <si>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</si>
  <si>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</si>
  <si>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</si>
  <si>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</si>
  <si>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</si>
  <si>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</si>
  <si>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</si>
  <si>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</si>
  <si>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</si>
  <si>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</si>
  <si>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</si>
  <si>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</si>
  <si>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</si>
  <si>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</si>
  <si>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</si>
  <si>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</si>
  <si>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</si>
  <si>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</si>
  <si>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</si>
  <si>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</si>
  <si>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</si>
  <si>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</si>
  <si>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</si>
  <si>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</si>
  <si>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</si>
  <si>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</si>
  <si>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</si>
  <si>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</si>
  <si>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</si>
  <si>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</si>
  <si>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</si>
  <si>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</si>
  <si>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</si>
  <si>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</si>
  <si>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</si>
  <si>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</si>
  <si>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</si>
  <si>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</si>
  <si>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</si>
  <si>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</si>
  <si>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</si>
  <si>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</si>
  <si>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</si>
  <si>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</si>
  <si>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</si>
  <si>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</si>
  <si>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</si>
  <si>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</si>
  <si>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</si>
  <si>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</si>
  <si>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</si>
  <si>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</si>
  <si>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</si>
  <si>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</si>
  <si>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</si>
  <si>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</si>
  <si>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</si>
  <si>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</si>
  <si>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</si>
  <si>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</si>
  <si>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</si>
  <si>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</si>
  <si>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</si>
  <si>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</si>
  <si>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</si>
  <si>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</si>
  <si>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</si>
  <si>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</si>
  <si>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</si>
  <si>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</si>
  <si>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</si>
  <si>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</si>
  <si>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</si>
  <si>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</si>
  <si>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</si>
  <si>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</si>
  <si>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</si>
  <si>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</si>
  <si>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</si>
  <si>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</si>
  <si>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</si>
  <si>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</si>
  <si>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</si>
  <si>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</si>
  <si>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</si>
  <si>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</si>
  <si>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</si>
  <si>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</si>
  <si>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</si>
  <si>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</si>
  <si>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</si>
  <si>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</si>
  <si>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</si>
  <si>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</si>
  <si>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</si>
  <si>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</si>
  <si>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</si>
  <si>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</si>
  <si>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</si>
  <si>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</si>
  <si>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</si>
  <si>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</si>
  <si>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</si>
  <si>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</si>
  <si>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</si>
  <si>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</si>
  <si>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</si>
  <si>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</si>
  <si>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</si>
  <si>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</si>
  <si>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</si>
  <si>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</si>
  <si>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</si>
  <si>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</si>
  <si>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</si>
  <si>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</si>
  <si>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</si>
  <si>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</si>
  <si>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</si>
  <si>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</si>
  <si>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</si>
  <si>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</si>
  <si>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</si>
  <si>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</si>
  <si>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</si>
  <si>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</si>
  <si>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</si>
  <si>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</si>
  <si>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</si>
  <si>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</si>
  <si>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</si>
  <si>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</si>
  <si>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</si>
  <si>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</si>
  <si>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</si>
  <si>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</si>
  <si>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</si>
  <si>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</si>
  <si>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</si>
  <si>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</si>
  <si>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</si>
  <si>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</si>
  <si>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</si>
  <si>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</si>
  <si>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</si>
  <si>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</si>
  <si>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</si>
  <si>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</si>
  <si>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</si>
  <si>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</si>
  <si>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</si>
  <si>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</si>
  <si>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</si>
  <si>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</si>
  <si>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</si>
  <si>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</si>
  <si>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</si>
  <si>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</si>
  <si>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</si>
  <si>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</si>
  <si>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</si>
  <si>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</si>
  <si>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</si>
  <si>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</si>
  <si>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</si>
  <si>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</si>
  <si>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</si>
  <si>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</si>
  <si>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</si>
  <si>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</si>
  <si>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</si>
  <si>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</si>
  <si>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</si>
  <si>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</si>
  <si>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</si>
  <si>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</si>
  <si>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</si>
  <si>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</si>
  <si>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</si>
  <si>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</si>
  <si>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</si>
  <si>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</si>
  <si>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</si>
  <si>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</si>
  <si>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</si>
  <si>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</si>
  <si>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</si>
  <si>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</si>
  <si>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</si>
  <si>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</si>
  <si>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</si>
  <si>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</si>
  <si>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</si>
  <si>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</si>
  <si>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</si>
  <si>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</si>
  <si>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</si>
  <si>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</si>
  <si>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</si>
  <si>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</si>
  <si>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</si>
  <si>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</si>
  <si>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</si>
  <si>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</si>
  <si>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</si>
  <si>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</si>
  <si>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</si>
  <si>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</si>
  <si>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</si>
  <si>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</si>
  <si>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</si>
  <si>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</si>
  <si>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</si>
  <si>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</si>
  <si>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</si>
  <si>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</si>
  <si>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</si>
  <si>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</si>
  <si>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</si>
  <si>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</si>
  <si>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</si>
  <si>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</si>
  <si>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</si>
  <si>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</si>
  <si>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</si>
  <si>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</si>
  <si>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</si>
  <si>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</si>
  <si>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</si>
  <si>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</si>
  <si>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</si>
  <si>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</si>
  <si>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</si>
  <si>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</si>
  <si>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</si>
  <si>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</si>
  <si>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</si>
  <si>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</si>
  <si>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</si>
  <si>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</si>
  <si>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</si>
  <si>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</si>
  <si>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</si>
  <si>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</si>
  <si>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</si>
  <si>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</si>
  <si>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</si>
  <si>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</si>
  <si>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</si>
  <si>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</si>
  <si>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</si>
  <si>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</si>
  <si>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</si>
  <si>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</si>
  <si>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</si>
  <si>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</si>
  <si>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</si>
  <si>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</si>
  <si>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</si>
  <si>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</si>
  <si>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</si>
  <si>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</si>
  <si>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</si>
  <si>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</si>
  <si>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</si>
  <si>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</si>
  <si>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</si>
  <si>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</si>
  <si>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</si>
  <si>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</si>
  <si>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</si>
  <si>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</si>
  <si>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</si>
  <si>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</si>
  <si>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</si>
  <si>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</si>
  <si>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</si>
  <si>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</si>
  <si>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</si>
  <si>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</si>
  <si>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</si>
  <si>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</si>
  <si>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</si>
  <si>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</si>
  <si>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</si>
  <si>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</si>
  <si>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</si>
  <si>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</si>
  <si>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</si>
  <si>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</si>
  <si>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</si>
  <si>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</si>
  <si>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</si>
  <si>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</si>
  <si>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</si>
  <si>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</si>
  <si>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</si>
  <si>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</si>
  <si>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</si>
  <si>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</si>
  <si>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</si>
  <si>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</si>
  <si>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</si>
  <si>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</si>
  <si>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</si>
  <si>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</si>
  <si>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</si>
  <si>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</si>
  <si>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</si>
  <si>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</si>
  <si>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</si>
  <si>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</si>
  <si>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</si>
  <si>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</si>
  <si>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</si>
  <si>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</si>
  <si>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</si>
  <si>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</si>
  <si>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</si>
  <si>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</si>
  <si>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</si>
  <si>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</si>
  <si>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</si>
  <si>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</si>
  <si>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</si>
  <si>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</si>
  <si>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</si>
  <si>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</si>
  <si>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</si>
  <si>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</si>
  <si>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</si>
  <si>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</si>
  <si>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</si>
  <si>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</si>
  <si>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</si>
  <si>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</si>
  <si>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</si>
  <si>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</si>
  <si>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</si>
  <si>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</si>
  <si>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</si>
  <si>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</si>
  <si>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</si>
  <si>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</si>
  <si>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</si>
  <si>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</si>
  <si>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</si>
  <si>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</si>
  <si>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</si>
  <si>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</si>
  <si>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</si>
  <si>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</si>
  <si>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</si>
  <si>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</si>
  <si>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</si>
  <si>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</si>
  <si>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</si>
  <si>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</si>
  <si>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</si>
  <si>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</si>
  <si>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</si>
  <si>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</si>
  <si>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</si>
  <si>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</si>
  <si>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</si>
  <si>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</si>
  <si>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</si>
  <si>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</si>
  <si>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</si>
  <si>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</si>
  <si>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</si>
  <si>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</si>
  <si>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</si>
  <si>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</si>
  <si>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</si>
  <si>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</si>
  <si>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</si>
  <si>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</si>
  <si>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</si>
  <si>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</si>
  <si>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</si>
  <si>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</si>
  <si>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</si>
  <si>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</si>
  <si>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</si>
  <si>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</si>
  <si>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</si>
  <si>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</si>
  <si>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</si>
  <si>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</si>
  <si>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</si>
  <si>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</si>
  <si>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</si>
  <si>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</si>
  <si>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</si>
  <si>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</si>
  <si>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</si>
  <si>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</si>
  <si>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</si>
  <si>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</si>
  <si>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</si>
  <si>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</si>
  <si>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</si>
  <si>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</si>
  <si>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</si>
  <si>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</si>
  <si>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</si>
  <si>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</si>
  <si>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</si>
  <si>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</si>
  <si>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</si>
  <si>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</si>
  <si>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</si>
  <si>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</si>
  <si>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</si>
  <si>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</si>
  <si>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</si>
  <si>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</si>
  <si>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</si>
  <si>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</si>
  <si>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</si>
  <si>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</si>
  <si>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</si>
  <si>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</si>
  <si>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</si>
  <si>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</si>
  <si>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</si>
  <si>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</si>
  <si>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</si>
  <si>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</si>
  <si>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</si>
  <si>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</si>
  <si>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</si>
  <si>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</si>
  <si>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</si>
  <si>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</si>
  <si>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</si>
  <si>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</si>
  <si>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</si>
  <si>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</si>
  <si>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</si>
  <si>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</si>
  <si>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</si>
  <si>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</si>
  <si>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</si>
  <si>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</si>
  <si>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</si>
  <si>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</si>
  <si>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</si>
  <si>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</si>
  <si>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</si>
  <si>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</si>
  <si>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</si>
  <si>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</si>
  <si>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</si>
  <si>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</si>
  <si>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</si>
  <si>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</si>
  <si>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</si>
  <si>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</si>
  <si>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</si>
  <si>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</si>
  <si>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</si>
  <si>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</si>
  <si>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</si>
  <si>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</si>
  <si>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</si>
  <si>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</si>
  <si>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</si>
  <si>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</si>
  <si>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</si>
  <si>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</si>
  <si>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</si>
  <si>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</si>
  <si>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</si>
  <si>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</si>
  <si>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</si>
  <si>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</si>
  <si>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</si>
  <si>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</si>
  <si>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</si>
  <si>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</si>
  <si>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</si>
  <si>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</si>
  <si>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</si>
  <si>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</si>
  <si>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</si>
  <si>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</si>
  <si>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</si>
  <si>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</si>
  <si>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</si>
  <si>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</si>
  <si>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</si>
  <si>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</si>
  <si>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</si>
  <si>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</si>
  <si>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</si>
  <si>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</si>
  <si>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</si>
  <si>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</si>
  <si>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</si>
  <si>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</si>
  <si>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</si>
  <si>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</si>
  <si>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</si>
  <si>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</si>
  <si>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</si>
  <si>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</si>
  <si>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</si>
  <si>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</si>
  <si>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</si>
  <si>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</si>
  <si>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</si>
  <si>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</si>
  <si>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</si>
  <si>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</si>
  <si>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</si>
  <si>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</si>
  <si>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</si>
  <si>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</si>
  <si>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</si>
  <si>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</si>
  <si>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</si>
  <si>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</si>
  <si>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</si>
  <si>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</si>
  <si>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</si>
  <si>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</si>
  <si>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</si>
  <si>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</si>
  <si>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</si>
  <si>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</si>
  <si>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</si>
  <si>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</si>
  <si>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</si>
  <si>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</si>
  <si>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</si>
  <si>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</si>
  <si>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</si>
  <si>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</si>
  <si>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</si>
  <si>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</si>
  <si>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</si>
  <si>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</si>
  <si>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</si>
  <si>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</si>
  <si>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</si>
  <si>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</si>
  <si>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</si>
  <si>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</si>
  <si>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</si>
  <si>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</si>
  <si>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</si>
  <si>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</si>
  <si>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</si>
  <si>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</si>
  <si>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</si>
  <si>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</si>
  <si>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</si>
  <si>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</si>
  <si>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</si>
  <si>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</si>
  <si>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</si>
  <si>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</si>
  <si>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</si>
  <si>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</si>
  <si>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</si>
  <si>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</si>
  <si>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</si>
  <si>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</si>
  <si>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</si>
  <si>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</si>
  <si>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</si>
  <si>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</si>
  <si>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</si>
  <si>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</si>
  <si>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</si>
  <si>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</si>
  <si>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</si>
  <si>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</si>
  <si>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</si>
  <si>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</si>
  <si>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</si>
  <si>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</si>
  <si>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</si>
  <si>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</si>
  <si>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</si>
  <si>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</si>
  <si>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</si>
  <si>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</si>
  <si>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</si>
  <si>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</si>
  <si>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</si>
  <si>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</si>
  <si>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</si>
  <si>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</si>
  <si>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</si>
  <si>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</si>
  <si>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</si>
  <si>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</si>
  <si>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</si>
  <si>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</si>
  <si>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</si>
  <si>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</si>
  <si>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</si>
  <si>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</si>
  <si>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</si>
  <si>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</si>
  <si>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</si>
  <si>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</si>
  <si>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</si>
  <si>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</si>
  <si>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</si>
  <si>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</si>
  <si>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</si>
  <si>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</si>
  <si>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</si>
  <si>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</si>
  <si>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</si>
  <si>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</si>
  <si>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</si>
  <si>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</si>
  <si>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</si>
  <si>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</si>
  <si>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</si>
  <si>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</si>
  <si>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</si>
  <si>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</si>
  <si>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</si>
  <si>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</si>
  <si>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</si>
  <si>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</si>
  <si>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</si>
  <si>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</si>
  <si>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</si>
  <si>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</si>
  <si>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</si>
  <si>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</si>
  <si>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</si>
  <si>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</si>
  <si>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</si>
  <si>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</si>
  <si>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</si>
  <si>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</si>
  <si>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</si>
  <si>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</si>
  <si>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</si>
  <si>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</si>
  <si>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</si>
  <si>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</si>
  <si>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</si>
  <si>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</si>
  <si>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</si>
  <si>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</si>
  <si>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</si>
  <si>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</si>
  <si>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</si>
  <si>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</si>
  <si>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</si>
  <si>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</si>
  <si>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</si>
  <si>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</si>
  <si>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</si>
  <si>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</si>
  <si>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</si>
  <si>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</si>
  <si>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</si>
  <si>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</si>
  <si>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</si>
  <si>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</si>
  <si>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</si>
  <si>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</si>
  <si>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</si>
  <si>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</si>
  <si>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</si>
  <si>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</si>
  <si>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</si>
  <si>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</si>
  <si>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</si>
  <si>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</si>
  <si>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</si>
  <si>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</si>
  <si>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</si>
  <si>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</si>
  <si>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</si>
  <si>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</si>
  <si>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</si>
  <si>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</si>
  <si>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</si>
  <si>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</si>
  <si>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</si>
  <si>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</si>
  <si>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</si>
  <si>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</si>
  <si>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</si>
  <si>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</si>
  <si>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</si>
  <si>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</si>
  <si>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</si>
  <si>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</si>
  <si>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</si>
  <si>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</si>
  <si>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</si>
  <si>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</si>
  <si>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</si>
  <si>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</si>
  <si>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</si>
  <si>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</si>
  <si>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</si>
  <si>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</si>
  <si>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</si>
  <si>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</si>
  <si>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</si>
  <si>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</si>
  <si>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</si>
  <si>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</si>
  <si>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</si>
  <si>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</si>
  <si>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</si>
  <si>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</si>
  <si>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</si>
  <si>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</si>
  <si>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</si>
  <si>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</si>
  <si>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</si>
  <si>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</si>
  <si>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</si>
  <si>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</si>
  <si>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</si>
  <si>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</si>
  <si>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</si>
  <si>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</si>
  <si>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</si>
  <si>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</si>
  <si>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</si>
  <si>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</si>
  <si>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</si>
  <si>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</si>
  <si>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</si>
  <si>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</si>
  <si>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</si>
  <si>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</si>
  <si>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</si>
  <si>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</si>
  <si>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</si>
  <si>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</si>
  <si>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</si>
  <si>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</si>
  <si>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</si>
  <si>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</si>
  <si>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</si>
  <si>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</si>
  <si>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</si>
  <si>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</si>
  <si>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</si>
  <si>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</si>
  <si>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</si>
  <si>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</si>
  <si>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</si>
  <si>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</si>
  <si>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</si>
  <si>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</si>
  <si>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</si>
  <si>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</si>
  <si>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</si>
  <si>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</si>
  <si>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</si>
  <si>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</si>
  <si>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</si>
  <si>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</si>
  <si>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</si>
  <si>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</si>
  <si>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</si>
  <si>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</si>
  <si>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</si>
  <si>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</si>
  <si>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</si>
  <si>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</si>
  <si>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</si>
  <si>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</si>
  <si>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</si>
  <si>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</si>
  <si>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</si>
  <si>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</si>
  <si>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</si>
  <si>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</si>
  <si>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</si>
  <si>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</si>
  <si>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</si>
  <si>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</si>
  <si>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</si>
  <si>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</si>
  <si>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</si>
  <si>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</si>
  <si>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</si>
  <si>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</si>
  <si>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</si>
  <si>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</si>
  <si>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</si>
  <si>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</si>
  <si>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</si>
  <si>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</si>
  <si>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</si>
  <si>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</si>
  <si>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</si>
  <si>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</si>
  <si>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</si>
  <si>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</si>
  <si>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</si>
  <si>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</si>
  <si>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</si>
  <si>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</si>
  <si>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</si>
  <si>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</si>
  <si>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</si>
  <si>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</si>
  <si>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</si>
  <si>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</si>
  <si>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</si>
  <si>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</si>
  <si>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</si>
  <si>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</si>
  <si>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</si>
  <si>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</si>
  <si>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</si>
  <si>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</si>
  <si>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</si>
  <si>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</si>
  <si>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</si>
  <si>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</si>
  <si>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</si>
  <si>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</si>
  <si>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</si>
  <si>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</si>
  <si>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</si>
  <si>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</si>
  <si>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</si>
  <si>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</si>
  <si>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</si>
  <si>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</si>
  <si>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</si>
  <si>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</si>
  <si>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</si>
  <si>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</si>
  <si>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</si>
  <si>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</si>
  <si>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</si>
  <si>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</si>
  <si>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</si>
  <si>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</si>
  <si>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</si>
  <si>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</si>
  <si>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</si>
  <si>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</si>
  <si>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</si>
  <si>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</si>
  <si>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</si>
  <si>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</si>
  <si>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</si>
  <si>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</si>
  <si>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</si>
  <si>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</si>
  <si>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</si>
  <si>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</si>
  <si>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</si>
  <si>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</si>
  <si>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</si>
  <si>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</si>
  <si>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</si>
  <si>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</si>
  <si>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</si>
  <si>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</si>
  <si>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</si>
  <si>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</si>
  <si>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</si>
  <si>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</si>
  <si>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</si>
  <si>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</si>
  <si>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</si>
  <si>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</si>
  <si>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</si>
  <si>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</si>
  <si>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</si>
  <si>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</si>
  <si>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</si>
  <si>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</si>
  <si>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</si>
  <si>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</si>
  <si>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</si>
  <si>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</si>
  <si>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</si>
  <si>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</si>
  <si>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</si>
  <si>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</si>
  <si>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</si>
  <si>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</si>
  <si>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</si>
  <si>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</si>
  <si>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</si>
  <si>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</si>
  <si>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</si>
  <si>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</si>
  <si>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</si>
  <si>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</si>
  <si>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</si>
  <si>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</si>
  <si>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</si>
  <si>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</si>
  <si>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</si>
  <si>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</si>
  <si>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</si>
  <si>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</si>
  <si>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</si>
  <si>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</si>
  <si>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</si>
  <si>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</si>
  <si>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</si>
  <si>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</si>
  <si>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</si>
  <si>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</si>
  <si>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</si>
  <si>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</si>
  <si>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</si>
  <si>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</si>
  <si>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</si>
  <si>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</si>
  <si>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</si>
  <si>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</si>
  <si>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</si>
  <si>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</si>
  <si>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</si>
  <si>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</si>
  <si>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</si>
  <si>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</si>
  <si>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</si>
  <si>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</si>
  <si>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</si>
  <si>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</si>
  <si>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</si>
  <si>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</si>
  <si>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</si>
  <si>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</si>
  <si>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</si>
  <si>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</si>
  <si>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</si>
  <si>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</si>
  <si>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</si>
  <si>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</si>
  <si>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</si>
  <si>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</si>
  <si>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</si>
  <si>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</si>
  <si>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</si>
  <si>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</si>
  <si>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</si>
  <si>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</si>
  <si>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</si>
  <si>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</si>
  <si>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</si>
  <si>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</si>
  <si>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</si>
  <si>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</si>
  <si>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</si>
  <si>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</si>
  <si>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</si>
  <si>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</si>
  <si>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</si>
  <si>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</si>
  <si>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</si>
  <si>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</si>
  <si>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</si>
  <si>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</si>
  <si>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</si>
  <si>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</si>
  <si>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</si>
  <si>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</si>
  <si>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</si>
  <si>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</si>
  <si>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</si>
  <si>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</si>
  <si>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</si>
  <si>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</si>
  <si>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</si>
  <si>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</si>
  <si>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</si>
  <si>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</si>
  <si>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</si>
  <si>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</si>
  <si>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</si>
  <si>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</si>
  <si>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</si>
  <si>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</si>
  <si>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</si>
  <si>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</si>
  <si>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</si>
  <si>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</si>
  <si>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</si>
  <si>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</si>
  <si>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</si>
  <si>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</si>
  <si>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</si>
  <si>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</si>
  <si>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</si>
  <si>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</si>
  <si>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</si>
  <si>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</si>
  <si>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</si>
  <si>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</si>
  <si>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</si>
  <si>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</si>
  <si>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</si>
  <si>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</si>
  <si>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</si>
  <si>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</si>
  <si>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</si>
  <si>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</si>
  <si>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</si>
  <si>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</si>
  <si>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</si>
  <si>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</si>
  <si>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</si>
  <si>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</si>
  <si>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</si>
  <si>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</si>
  <si>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</si>
  <si>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</si>
  <si>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</si>
  <si>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</si>
  <si>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</si>
  <si>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</si>
  <si>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</si>
  <si>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</si>
  <si>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</si>
  <si>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</si>
  <si>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</si>
  <si>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</si>
  <si>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</si>
  <si>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</si>
  <si>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</si>
  <si>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</si>
  <si>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</si>
  <si>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</si>
  <si>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</si>
  <si>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</si>
  <si>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</si>
  <si>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</si>
  <si>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</si>
  <si>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</si>
  <si>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</si>
  <si>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</si>
  <si>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</si>
  <si>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</si>
  <si>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</si>
  <si>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</si>
  <si>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</si>
  <si>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</si>
  <si>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</si>
  <si>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</si>
  <si>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</si>
  <si>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</si>
  <si>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</si>
  <si>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</si>
  <si>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</si>
  <si>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</si>
  <si>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</si>
  <si>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</si>
  <si>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</si>
  <si>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</si>
  <si>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</si>
  <si>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</si>
  <si>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</si>
  <si>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</si>
  <si>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</si>
  <si>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</si>
  <si>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</si>
  <si>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</si>
  <si>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</si>
  <si>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</si>
  <si>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</si>
  <si>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</si>
  <si>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</si>
  <si>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</si>
  <si>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</si>
  <si>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</si>
  <si>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</si>
  <si>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</si>
  <si>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</si>
  <si>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</si>
  <si>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</si>
  <si>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</si>
  <si>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</si>
  <si>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</si>
  <si>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</si>
  <si>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</si>
  <si>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</si>
  <si>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</si>
  <si>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</si>
  <si>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</si>
  <si>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</si>
  <si>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</si>
  <si>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</si>
  <si>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</si>
  <si>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</si>
  <si>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</si>
  <si>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</si>
  <si>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</si>
  <si>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</si>
  <si>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</si>
  <si>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</si>
  <si>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</si>
  <si>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</si>
  <si>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</si>
  <si>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</si>
  <si>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</si>
  <si>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</si>
  <si>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</si>
  <si>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</si>
  <si>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</si>
  <si>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</si>
  <si>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</si>
  <si>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</si>
  <si>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</si>
  <si>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</si>
  <si>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</si>
  <si>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</si>
  <si>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</si>
  <si>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</si>
  <si>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</si>
  <si>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</si>
  <si>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</si>
  <si>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</si>
  <si>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</si>
  <si>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</si>
  <si>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</si>
  <si>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</si>
  <si>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</si>
  <si>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</si>
  <si>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</si>
  <si>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</si>
  <si>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</si>
  <si>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</si>
  <si>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</si>
  <si>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</si>
  <si>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</si>
  <si>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</si>
  <si>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</si>
  <si>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</si>
  <si>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</si>
  <si>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</si>
  <si>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</si>
  <si>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</si>
  <si>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</si>
  <si>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</si>
  <si>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</si>
  <si>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</si>
  <si>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</si>
  <si>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</si>
  <si>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</si>
  <si>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</si>
  <si>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</si>
  <si>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</si>
  <si>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</si>
  <si>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</si>
  <si>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</si>
  <si>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</si>
  <si>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</si>
  <si>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</si>
  <si>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</si>
  <si>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</si>
  <si>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</si>
  <si>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</si>
  <si>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</si>
  <si>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</si>
  <si>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</si>
  <si>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</si>
  <si>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</si>
  <si>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</si>
  <si>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</si>
  <si>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</si>
  <si>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</si>
  <si>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</si>
  <si>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</si>
  <si>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</si>
  <si>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</si>
  <si>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</si>
  <si>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</si>
  <si>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</si>
  <si>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</si>
  <si>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</si>
  <si>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</si>
  <si>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</si>
  <si>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</si>
  <si>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</si>
  <si>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</si>
  <si>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</si>
  <si>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</si>
  <si>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</si>
  <si>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</si>
  <si>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</si>
  <si>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</si>
  <si>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</si>
  <si>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</si>
  <si>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</si>
  <si>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</si>
  <si>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</si>
  <si>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</si>
  <si>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</si>
  <si>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</si>
  <si>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</si>
  <si>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</si>
  <si>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</si>
  <si>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</si>
  <si>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</si>
  <si>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</si>
  <si>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</si>
  <si>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</si>
  <si>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</si>
  <si>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</si>
  <si>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</si>
  <si>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</si>
  <si>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</si>
  <si>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</si>
  <si>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</si>
  <si>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</si>
  <si>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</si>
  <si>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</si>
  <si>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</si>
  <si>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</si>
  <si>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</si>
  <si>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</si>
  <si>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</si>
  <si>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</si>
  <si>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</si>
  <si>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</si>
  <si>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</si>
  <si>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</si>
  <si>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</si>
  <si>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</si>
  <si>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</si>
  <si>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</si>
  <si>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</si>
  <si>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</si>
  <si>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</si>
  <si>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</si>
  <si>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</si>
  <si>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</si>
  <si>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</si>
  <si>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</si>
  <si>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</si>
  <si>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</si>
  <si>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</si>
  <si>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</si>
  <si>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</si>
  <si>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</si>
  <si>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</si>
  <si>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</si>
  <si>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</si>
  <si>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</si>
  <si>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</si>
  <si>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</si>
  <si>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</si>
  <si>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</si>
  <si>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</si>
  <si>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</si>
  <si>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</si>
  <si>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</si>
  <si>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</si>
  <si>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</si>
  <si>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</si>
  <si>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</si>
  <si>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</si>
  <si>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</si>
  <si>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</si>
  <si>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</si>
  <si>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</si>
  <si>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</si>
  <si>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</si>
  <si>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</si>
  <si>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</si>
  <si>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</si>
  <si>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</si>
  <si>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</si>
  <si>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</si>
  <si>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</si>
  <si>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</si>
  <si>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</si>
  <si>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</si>
  <si>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</si>
  <si>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</si>
  <si>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</si>
  <si>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</si>
  <si>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</si>
  <si>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</si>
  <si>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</si>
  <si>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</si>
  <si>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</si>
  <si>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</si>
  <si>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</si>
  <si>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</si>
  <si>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</si>
  <si>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</si>
  <si>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</si>
  <si>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</si>
  <si>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</si>
  <si>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</si>
  <si>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</si>
  <si>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</si>
  <si>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</si>
  <si>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</si>
  <si>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</si>
  <si>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</si>
  <si>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</si>
  <si>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</si>
  <si>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</si>
  <si>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</si>
  <si>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</si>
  <si>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</si>
  <si>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</si>
  <si>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</si>
  <si>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</si>
  <si>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</si>
  <si>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</si>
  <si>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</si>
  <si>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</si>
  <si>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</si>
  <si>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</si>
  <si>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</si>
  <si>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</si>
  <si>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</si>
  <si>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</si>
  <si>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</si>
  <si>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</si>
  <si>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</si>
  <si>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</si>
  <si>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</si>
  <si>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</si>
  <si>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</si>
  <si>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</si>
  <si>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</si>
  <si>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</si>
  <si>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</si>
  <si>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</si>
  <si>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</si>
  <si>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</si>
  <si>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</si>
  <si>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</si>
  <si>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</si>
  <si>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</si>
  <si>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</si>
  <si>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</si>
  <si>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</si>
  <si>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</si>
  <si>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</si>
  <si>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</si>
  <si>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</si>
  <si>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</si>
  <si>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</si>
  <si>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</si>
  <si>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</si>
  <si>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</si>
  <si>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</si>
  <si>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</si>
  <si>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</si>
  <si>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</si>
  <si>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</si>
  <si>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</si>
  <si>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</si>
  <si>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</si>
  <si>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</si>
  <si>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</si>
  <si>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</si>
  <si>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</si>
  <si>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</si>
  <si>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</si>
  <si>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</si>
  <si>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</si>
  <si>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</si>
  <si>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</si>
  <si>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</si>
  <si>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</si>
  <si>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</si>
  <si>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</si>
  <si>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</si>
  <si>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</si>
  <si>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</si>
  <si>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</si>
  <si>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</si>
  <si>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</si>
  <si>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</si>
  <si>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</si>
  <si>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</si>
  <si>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</si>
  <si>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</si>
  <si>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</si>
  <si>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</si>
  <si>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</si>
  <si>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</si>
  <si>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</si>
  <si>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</si>
  <si>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</si>
  <si>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</si>
  <si>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</si>
  <si>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</si>
  <si>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</si>
  <si>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</si>
  <si>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</si>
  <si>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</si>
  <si>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</si>
  <si>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</si>
  <si>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</si>
  <si>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</si>
  <si>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</si>
  <si>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</si>
  <si>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</si>
  <si>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</si>
  <si>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</si>
  <si>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</si>
  <si>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</si>
  <si>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</si>
  <si>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</si>
  <si>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</si>
  <si>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</si>
  <si>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</si>
  <si>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</si>
  <si>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</si>
  <si>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</si>
  <si>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</si>
  <si>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</si>
  <si>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</si>
  <si>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</si>
  <si>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</si>
  <si>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</si>
  <si>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</si>
  <si>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</si>
  <si>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</si>
  <si>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</si>
  <si>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</si>
  <si>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</si>
  <si>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</si>
  <si>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</si>
  <si>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</si>
  <si>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</si>
  <si>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</si>
  <si>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</si>
  <si>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</si>
  <si>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</si>
  <si>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</si>
  <si>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</si>
  <si>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</si>
  <si>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</si>
  <si>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</si>
  <si>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</si>
  <si>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</si>
  <si>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</si>
  <si>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</si>
  <si>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</si>
  <si>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</si>
  <si>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</si>
  <si>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</si>
  <si>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</si>
  <si>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</si>
  <si>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</si>
  <si>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</si>
  <si>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</si>
  <si>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</si>
  <si>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</si>
  <si>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</si>
  <si>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</si>
  <si>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</si>
  <si>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</si>
  <si>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</si>
  <si>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</si>
  <si>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</si>
  <si>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</si>
  <si>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</si>
  <si>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</si>
  <si>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</si>
  <si>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</si>
  <si>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</si>
  <si>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</si>
  <si>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</si>
  <si>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</si>
  <si>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</si>
  <si>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</si>
  <si>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</si>
  <si>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</si>
  <si>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</si>
  <si>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</si>
  <si>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</si>
  <si>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</si>
  <si>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</si>
  <si>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</si>
  <si>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</si>
  <si>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</si>
  <si>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</si>
  <si>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</si>
  <si>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</si>
  <si>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</si>
  <si>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</si>
  <si>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</si>
  <si>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</si>
  <si>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</si>
  <si>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</si>
  <si>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</si>
  <si>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</si>
  <si>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</si>
  <si>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</si>
  <si>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</si>
  <si>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</si>
  <si>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</si>
  <si>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</si>
  <si>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</si>
  <si>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</si>
  <si>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</si>
  <si>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</si>
  <si>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</si>
  <si>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</si>
  <si>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</si>
  <si>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</si>
  <si>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</si>
  <si>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</si>
  <si>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</si>
  <si>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</si>
  <si>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</si>
  <si>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</si>
  <si>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</si>
  <si>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</si>
  <si>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</si>
  <si>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</si>
  <si>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</si>
  <si>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</si>
  <si>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</si>
  <si>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</si>
  <si>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</si>
  <si>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</si>
  <si>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</si>
  <si>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</si>
  <si>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</si>
  <si>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</si>
  <si>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</si>
  <si>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</si>
  <si>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</si>
  <si>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</si>
  <si>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</si>
  <si>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</si>
  <si>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</si>
  <si>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</si>
  <si>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</si>
  <si>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</si>
  <si>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</si>
  <si>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</si>
  <si>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</si>
  <si>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</si>
  <si>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</si>
  <si>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</si>
  <si>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</si>
  <si>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</si>
  <si>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</si>
  <si>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</si>
  <si>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</si>
  <si>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</si>
  <si>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</si>
  <si>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</si>
  <si>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</si>
  <si>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</si>
  <si>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</si>
  <si>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</si>
  <si>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</si>
  <si>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</si>
  <si>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</si>
  <si>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</si>
  <si>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</si>
  <si>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</si>
  <si>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</si>
  <si>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</si>
  <si>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</si>
  <si>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</si>
  <si>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</si>
  <si>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</si>
  <si>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</si>
  <si>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</si>
  <si>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</si>
  <si>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</si>
  <si>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</si>
  <si>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</si>
  <si>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</si>
  <si>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</si>
  <si>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</si>
  <si>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</si>
  <si>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</si>
  <si>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</si>
  <si>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</si>
  <si>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</si>
  <si>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</si>
  <si>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</si>
  <si>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</si>
  <si>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</si>
  <si>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</si>
  <si>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</si>
  <si>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</si>
  <si>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</si>
  <si>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</si>
  <si>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</si>
  <si>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</si>
  <si>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</si>
  <si>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</si>
  <si>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</si>
  <si>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</si>
  <si>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</si>
  <si>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</si>
  <si>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</si>
  <si>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</si>
  <si>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</si>
  <si>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</si>
  <si>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</si>
  <si>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</si>
  <si>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</si>
  <si>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</si>
  <si>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</si>
  <si>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</si>
  <si>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</si>
  <si>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</si>
  <si>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</si>
  <si>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</si>
  <si>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</si>
  <si>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</si>
  <si>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</si>
  <si>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</si>
  <si>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</si>
  <si>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</si>
  <si>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</si>
  <si>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</si>
  <si>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</si>
  <si>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</si>
  <si>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</si>
  <si>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</si>
  <si>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</si>
  <si>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</si>
  <si>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</si>
  <si>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</si>
  <si>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</si>
  <si>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</si>
  <si>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</si>
  <si>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</si>
  <si>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</si>
  <si>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</si>
  <si>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</si>
  <si>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</si>
  <si>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</si>
  <si>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</si>
  <si>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</si>
  <si>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</si>
  <si>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</si>
  <si>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</si>
  <si>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</si>
  <si>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</si>
  <si>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</si>
  <si>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</si>
  <si>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</si>
  <si>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</si>
  <si>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</si>
  <si>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</si>
  <si>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</si>
  <si>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</si>
  <si>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</si>
  <si>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</si>
  <si>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</si>
  <si>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</si>
  <si>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</si>
  <si>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</si>
  <si>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</si>
  <si>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</si>
  <si>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</si>
  <si>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</si>
  <si>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</si>
  <si>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</si>
  <si>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</si>
  <si>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</si>
  <si>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</si>
  <si>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</si>
  <si>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</si>
  <si>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</si>
  <si>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</si>
  <si>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</si>
  <si>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</si>
  <si>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</si>
  <si>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</si>
  <si>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</si>
  <si>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</si>
  <si>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</si>
  <si>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</si>
  <si>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</si>
  <si>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</si>
  <si>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</si>
  <si>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</si>
  <si>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</si>
  <si>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</si>
  <si>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</si>
  <si>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</si>
  <si>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</si>
  <si>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</si>
  <si>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</si>
  <si>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</si>
  <si>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</si>
  <si>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</si>
  <si>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</si>
  <si>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</si>
  <si>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</si>
  <si>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</si>
  <si>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</si>
  <si>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</si>
  <si>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</si>
  <si>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</si>
  <si>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</si>
  <si>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</si>
  <si>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</si>
  <si>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</si>
  <si>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</si>
  <si>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</si>
  <si>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</si>
  <si>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</si>
  <si>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</si>
  <si>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</si>
  <si>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</si>
  <si>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</si>
  <si>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</si>
  <si>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</si>
  <si>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</si>
  <si>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</si>
  <si>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</si>
  <si>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</si>
  <si>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</si>
  <si>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</si>
  <si>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</si>
  <si>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</si>
  <si>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</si>
  <si>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</si>
  <si>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</si>
  <si>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</si>
  <si>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</si>
  <si>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</si>
  <si>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</si>
  <si>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</si>
  <si>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</si>
  <si>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</si>
  <si>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</si>
  <si>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</si>
  <si>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</si>
  <si>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</si>
  <si>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</si>
  <si>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</si>
  <si>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</si>
  <si>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</si>
  <si>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</si>
  <si>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</si>
  <si>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</si>
  <si>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</si>
  <si>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</si>
  <si>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</si>
  <si>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</si>
  <si>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</si>
  <si>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</si>
  <si>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</si>
  <si>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</si>
  <si>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</si>
  <si>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</si>
  <si>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</si>
  <si>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</si>
  <si>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</si>
  <si>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</si>
  <si>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</si>
  <si>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</si>
  <si>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</si>
  <si>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</si>
  <si>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</si>
  <si>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</si>
  <si>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</si>
  <si>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</si>
  <si>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</si>
  <si>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</si>
  <si>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</si>
  <si>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</si>
  <si>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</si>
  <si>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</si>
  <si>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</si>
  <si>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</si>
  <si>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</si>
  <si>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</si>
  <si>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</si>
  <si>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</si>
  <si>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</si>
  <si>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</si>
  <si>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</si>
  <si>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</si>
  <si>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</si>
  <si>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</si>
  <si>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</si>
  <si>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</si>
  <si>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</si>
  <si>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</si>
  <si>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</si>
  <si>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</si>
  <si>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</si>
  <si>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</si>
  <si>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</si>
  <si>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</si>
  <si>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</si>
  <si>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</si>
  <si>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</si>
  <si>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</si>
  <si>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</si>
  <si>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</si>
  <si>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</si>
  <si>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</si>
  <si>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</si>
  <si>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</si>
  <si>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</si>
  <si>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</si>
  <si>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</si>
  <si>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</si>
  <si>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</si>
  <si>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</si>
  <si>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</si>
  <si>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</si>
  <si>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</si>
  <si>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</si>
  <si>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</si>
  <si>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</si>
  <si>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</si>
  <si>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</si>
  <si>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</si>
  <si>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</si>
  <si>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</si>
  <si>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</si>
  <si>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</si>
  <si>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</si>
  <si>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</si>
  <si>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</si>
  <si>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</si>
  <si>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</si>
  <si>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</si>
  <si>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</si>
  <si>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</si>
  <si>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</si>
  <si>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</si>
  <si>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</si>
  <si>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</si>
  <si>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</si>
  <si>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</si>
  <si>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</si>
  <si>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</si>
  <si>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</si>
  <si>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</si>
  <si>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</si>
  <si>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</si>
  <si>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</si>
  <si>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</si>
  <si>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</si>
  <si>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</si>
  <si>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</si>
  <si>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</si>
  <si>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</si>
  <si>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</si>
  <si>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</si>
  <si>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</si>
  <si>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</si>
  <si>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</si>
  <si>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</si>
  <si>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</si>
  <si>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</si>
  <si>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</si>
  <si>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</si>
  <si>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</si>
  <si>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</si>
  <si>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</si>
  <si>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</si>
  <si>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</si>
  <si>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</si>
  <si>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</si>
  <si>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</si>
  <si>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</si>
  <si>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</si>
  <si>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</si>
  <si>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</si>
  <si>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</si>
  <si>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</si>
  <si>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</si>
  <si>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</si>
  <si>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</si>
  <si>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</si>
  <si>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</si>
  <si>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</si>
  <si>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</si>
  <si>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</si>
  <si>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</si>
  <si>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</si>
  <si>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</si>
  <si>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</si>
  <si>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</si>
  <si>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</si>
  <si>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</si>
  <si>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</si>
  <si>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</si>
  <si>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</si>
  <si>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</si>
  <si>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</si>
  <si>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</si>
  <si>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</si>
  <si>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</si>
  <si>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</si>
  <si>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</si>
  <si>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</si>
  <si>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</si>
  <si>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</si>
  <si>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</si>
  <si>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</si>
  <si>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</si>
  <si>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</si>
  <si>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</si>
  <si>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</si>
  <si>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</si>
  <si>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</si>
  <si>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</si>
  <si>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</si>
  <si>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</si>
  <si>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</si>
  <si>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</si>
  <si>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</si>
  <si>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</si>
  <si>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</si>
  <si>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</si>
  <si>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</si>
  <si>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</si>
  <si>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</si>
  <si>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</si>
  <si>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</si>
  <si>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</si>
  <si>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</si>
  <si>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</si>
  <si>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</si>
  <si>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</si>
  <si>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</si>
  <si>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</si>
  <si>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</si>
  <si>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</si>
  <si>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</si>
  <si>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</si>
  <si>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</si>
  <si>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</si>
  <si>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</si>
  <si>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</si>
  <si>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</si>
  <si>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</si>
  <si>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</si>
  <si>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</si>
  <si>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</si>
  <si>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</si>
  <si>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</si>
  <si>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</si>
  <si>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</si>
  <si>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</si>
  <si>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</si>
  <si>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</si>
  <si>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</si>
  <si>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</si>
  <si>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</si>
  <si>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</si>
  <si>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</si>
  <si>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</si>
  <si>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</si>
  <si>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</si>
  <si>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</si>
  <si>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</si>
  <si>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</si>
  <si>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</si>
  <si>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</si>
  <si>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</si>
  <si>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</si>
  <si>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</si>
  <si>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</si>
  <si>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</si>
  <si>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</si>
  <si>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</si>
  <si>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</si>
  <si>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</si>
  <si>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</si>
  <si>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</si>
  <si>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</si>
  <si>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</si>
  <si>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</si>
  <si>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</si>
  <si>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</si>
  <si>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</si>
  <si>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</si>
  <si>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</si>
  <si>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</si>
  <si>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</si>
  <si>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</si>
  <si>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</si>
  <si>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</si>
  <si>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</si>
  <si>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</si>
  <si>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</si>
  <si>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</si>
  <si>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</si>
  <si>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</si>
  <si>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</si>
  <si>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</si>
  <si>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</si>
  <si>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</si>
  <si>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</si>
  <si>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</si>
  <si>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</si>
  <si>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</si>
  <si>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</si>
  <si>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</si>
  <si>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</si>
  <si>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</si>
  <si>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</si>
  <si>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</si>
  <si>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</si>
  <si>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</si>
  <si>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</si>
  <si>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</si>
  <si>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</si>
  <si>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</si>
  <si>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</si>
  <si>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</si>
  <si>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</si>
  <si>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</si>
  <si>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</si>
  <si>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</si>
  <si>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</si>
  <si>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</si>
  <si>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</si>
  <si>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</si>
  <si>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</si>
  <si>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</si>
  <si>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</si>
  <si>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</si>
  <si>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</si>
  <si>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</si>
  <si>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</si>
  <si>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</si>
  <si>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</si>
  <si>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</si>
  <si>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</si>
  <si>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</si>
  <si>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</si>
  <si>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</si>
  <si>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</si>
  <si>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</si>
  <si>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</si>
  <si>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</si>
  <si>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</si>
  <si>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</si>
  <si>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</si>
  <si>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</si>
  <si>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</si>
  <si>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</si>
  <si>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</si>
  <si>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</si>
  <si>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</si>
  <si>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</si>
  <si>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</si>
  <si>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</si>
  <si>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</si>
  <si>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</si>
  <si>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</si>
  <si>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</si>
  <si>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</si>
  <si>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</si>
  <si>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</si>
  <si>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</si>
  <si>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</si>
  <si>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</si>
  <si>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</si>
  <si>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</si>
  <si>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</si>
  <si>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</si>
  <si>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</si>
  <si>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</si>
  <si>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</si>
  <si>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</si>
  <si>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</si>
  <si>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</si>
  <si>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</si>
  <si>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</si>
  <si>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</si>
  <si>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</si>
  <si>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</si>
  <si>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</si>
  <si>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</si>
  <si>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</si>
  <si>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</si>
  <si>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</si>
  <si>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</si>
  <si>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</si>
  <si>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</si>
  <si>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</si>
  <si>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</si>
  <si>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</si>
  <si>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</si>
  <si>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</si>
  <si>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</si>
  <si>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</si>
  <si>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</si>
  <si>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</si>
  <si>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</si>
  <si>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</si>
  <si>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</si>
  <si>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</si>
  <si>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</si>
  <si>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</si>
  <si>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</si>
  <si>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</si>
  <si>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</si>
  <si>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</si>
  <si>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</si>
  <si>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</si>
  <si>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</si>
  <si>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</si>
  <si>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</si>
  <si>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</si>
  <si>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</si>
  <si>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</si>
  <si>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</si>
  <si>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</si>
  <si>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</si>
  <si>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</si>
  <si>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</si>
  <si>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</si>
  <si>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</si>
  <si>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</si>
  <si>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</si>
  <si>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</si>
  <si>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</si>
  <si>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</si>
  <si>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</si>
  <si>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</si>
  <si>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</si>
  <si>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</si>
  <si>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</si>
  <si>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</si>
  <si>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</si>
  <si>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</si>
  <si>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</si>
  <si>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</si>
  <si>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</si>
  <si>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</si>
  <si>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</si>
  <si>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</si>
  <si>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</si>
  <si>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</si>
  <si>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</si>
  <si>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</si>
  <si>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</si>
  <si>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</si>
  <si>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</si>
  <si>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</si>
  <si>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</si>
  <si>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</si>
  <si>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</si>
  <si>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</si>
  <si>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</si>
  <si>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</si>
  <si>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</si>
  <si>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</si>
  <si>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</si>
  <si>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</si>
  <si>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</si>
  <si>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</si>
  <si>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</si>
  <si>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</si>
  <si>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</si>
  <si>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</si>
  <si>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</si>
  <si>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</si>
  <si>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</si>
  <si>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</si>
  <si>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</si>
  <si>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</si>
  <si>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</si>
  <si>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</si>
  <si>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</si>
  <si>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</si>
  <si>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</si>
  <si>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</si>
  <si>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</si>
  <si>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</si>
  <si>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</si>
  <si>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</si>
  <si>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</si>
  <si>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</si>
  <si>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</si>
  <si>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</si>
  <si>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</si>
  <si>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</si>
  <si>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</si>
  <si>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</si>
  <si>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</si>
  <si>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</si>
  <si>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</si>
  <si>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</si>
  <si>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</si>
  <si>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</si>
  <si>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</si>
  <si>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</si>
  <si>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</si>
  <si>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</si>
  <si>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</si>
  <si>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</si>
  <si>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</si>
  <si>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</si>
  <si>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</si>
  <si>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</si>
  <si>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</si>
  <si>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</si>
  <si>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</si>
  <si>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</si>
  <si>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</si>
  <si>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</si>
  <si>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</si>
  <si>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</si>
  <si>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</si>
  <si>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</si>
  <si>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</si>
  <si>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</si>
  <si>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</si>
  <si>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</si>
  <si>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</si>
  <si>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</si>
  <si>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</si>
  <si>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</si>
  <si>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</si>
  <si>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</si>
  <si>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</si>
  <si>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</si>
  <si>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</si>
  <si>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</si>
  <si>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</si>
  <si>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</si>
  <si>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</si>
  <si>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</si>
  <si>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</si>
  <si>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</si>
  <si>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</si>
  <si>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</si>
  <si>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</si>
  <si>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</si>
  <si>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</si>
  <si>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</si>
  <si>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</si>
  <si>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</si>
  <si>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</si>
  <si>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</si>
  <si>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</si>
  <si>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</si>
  <si>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</si>
  <si>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</si>
  <si>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</si>
  <si>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</si>
  <si>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</si>
  <si>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</si>
  <si>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</si>
  <si>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</si>
  <si>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</si>
  <si>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</si>
  <si>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</si>
  <si>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</si>
  <si>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</si>
  <si>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</si>
  <si>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</si>
  <si>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</si>
  <si>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</si>
  <si>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</si>
  <si>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</si>
  <si>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</si>
  <si>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</si>
  <si>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</si>
  <si>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</si>
  <si>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</si>
  <si>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</si>
  <si>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</si>
  <si>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</si>
  <si>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</si>
  <si>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</si>
  <si>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</si>
  <si>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</si>
  <si>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</si>
  <si>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</si>
  <si>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</si>
  <si>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</si>
  <si>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</si>
  <si>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</si>
  <si>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</si>
  <si>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</si>
  <si>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</si>
  <si>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</si>
  <si>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</si>
  <si>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</si>
  <si>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</si>
  <si>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</si>
  <si>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</si>
  <si>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</si>
  <si>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</si>
  <si>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</si>
  <si>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</si>
  <si>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</si>
  <si>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</si>
  <si>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</si>
  <si>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</si>
  <si>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</si>
  <si>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</si>
  <si>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</si>
  <si>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</si>
  <si>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</si>
  <si>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</si>
  <si>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</si>
  <si>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</si>
  <si>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</si>
  <si>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</si>
  <si>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</si>
  <si>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</si>
  <si>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</si>
  <si>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</si>
  <si>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</si>
  <si>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</si>
  <si>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</si>
  <si>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</si>
  <si>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</si>
  <si>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</si>
  <si>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</si>
  <si>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</si>
  <si>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</si>
  <si>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</si>
  <si>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</si>
  <si>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</si>
  <si>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</si>
  <si>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</si>
  <si>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</si>
  <si>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</si>
  <si>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</si>
  <si>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</si>
  <si>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</si>
  <si>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</si>
  <si>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</si>
  <si>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</si>
  <si>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</si>
  <si>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</si>
  <si>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</si>
  <si>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</si>
  <si>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</si>
  <si>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</si>
  <si>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</si>
  <si>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</si>
  <si>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</si>
  <si>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</si>
  <si>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</si>
  <si>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</si>
  <si>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</si>
  <si>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</si>
  <si>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</si>
  <si>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</si>
  <si>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</si>
  <si>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</si>
  <si>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</si>
  <si>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</si>
  <si>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</si>
  <si>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</si>
  <si>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</si>
  <si>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</si>
  <si>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</si>
  <si>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</si>
  <si>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</si>
  <si>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</si>
  <si>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</si>
  <si>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</si>
  <si>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</si>
  <si>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</si>
  <si>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</si>
  <si>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</si>
  <si>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</si>
  <si>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</si>
  <si>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</si>
  <si>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</si>
  <si>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</si>
  <si>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</si>
  <si>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</si>
  <si>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</si>
  <si>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</si>
  <si>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</si>
  <si>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</si>
  <si>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</si>
  <si>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</si>
  <si>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</si>
  <si>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</si>
  <si>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</si>
  <si>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</si>
  <si>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</si>
  <si>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</si>
  <si>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</si>
  <si>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</si>
  <si>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</si>
  <si>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</si>
  <si>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</si>
  <si>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</si>
  <si>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</si>
  <si>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</si>
  <si>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</si>
  <si>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</si>
  <si>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</si>
  <si>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</si>
  <si>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</si>
  <si>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</si>
  <si>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</si>
  <si>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</si>
  <si>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</si>
  <si>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</si>
  <si>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</si>
  <si>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</si>
  <si>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</si>
  <si>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</si>
  <si>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</si>
  <si>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</si>
  <si>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</si>
  <si>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</si>
  <si>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</si>
  <si>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</si>
  <si>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</si>
  <si>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</si>
  <si>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</si>
  <si>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</si>
  <si>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</si>
  <si>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</si>
  <si>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</si>
  <si>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</si>
  <si>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</si>
  <si>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</si>
  <si>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</si>
  <si>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</si>
  <si>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</si>
  <si>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</si>
  <si>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</si>
  <si>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</si>
  <si>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</si>
  <si>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</si>
  <si>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</si>
  <si>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</si>
  <si>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</si>
  <si>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</si>
  <si>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</si>
  <si>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</si>
  <si>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</si>
  <si>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</si>
  <si>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</si>
  <si>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</si>
  <si>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</si>
  <si>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</si>
  <si>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</si>
  <si>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</si>
  <si>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</si>
  <si>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</si>
  <si>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</si>
  <si>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</si>
  <si>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</si>
  <si>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</si>
  <si>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</si>
  <si>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</si>
  <si>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</si>
  <si>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</si>
  <si>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</si>
  <si>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</si>
  <si>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</si>
  <si>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</si>
  <si>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</si>
  <si>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</si>
  <si>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</si>
  <si>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</si>
  <si>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</si>
  <si>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</si>
  <si>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</si>
  <si>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</si>
  <si>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</si>
  <si>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</si>
  <si>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</si>
  <si>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</si>
  <si>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</si>
  <si>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</si>
  <si>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</si>
  <si>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</si>
  <si>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</si>
  <si>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</si>
  <si>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</si>
  <si>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</si>
  <si>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</si>
  <si>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</si>
  <si>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</si>
  <si>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</si>
  <si>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</si>
  <si>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</si>
  <si>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</si>
  <si>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</si>
  <si>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</si>
  <si>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</si>
  <si>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</si>
  <si>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</si>
  <si>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</si>
  <si>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</si>
  <si>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</si>
  <si>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</si>
  <si>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</si>
  <si>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</si>
  <si>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</si>
  <si>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</si>
  <si>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</si>
  <si>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</si>
  <si>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</si>
  <si>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</si>
  <si>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</si>
  <si>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</si>
  <si>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</si>
  <si>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</si>
  <si>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</si>
  <si>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</si>
  <si>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</si>
  <si>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</si>
  <si>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</si>
  <si>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</si>
  <si>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</si>
  <si>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</si>
  <si>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</si>
  <si>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</si>
  <si>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</si>
  <si>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</si>
  <si>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</si>
  <si>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</si>
  <si>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</si>
  <si>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</si>
  <si>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</si>
  <si>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</si>
  <si>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</si>
  <si>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</si>
  <si>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</si>
  <si>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</si>
  <si>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</si>
  <si>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</si>
  <si>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</si>
  <si>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</si>
  <si>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</si>
  <si>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</si>
  <si>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</si>
  <si>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</si>
  <si>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</si>
  <si>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</si>
  <si>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</si>
  <si>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</si>
  <si>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</si>
  <si>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</si>
  <si>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</si>
  <si>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</si>
  <si>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</si>
  <si>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</si>
  <si>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</si>
  <si>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</si>
  <si>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</si>
  <si>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</si>
  <si>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</si>
  <si>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</si>
  <si>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</si>
  <si>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</si>
  <si>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</si>
  <si>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</si>
  <si>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</si>
  <si>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</si>
  <si>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</si>
  <si>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</si>
  <si>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</si>
  <si>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</si>
  <si>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</si>
  <si>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</si>
  <si>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</si>
  <si>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</si>
  <si>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</si>
  <si>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</si>
  <si>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</si>
  <si>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</si>
  <si>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</si>
  <si>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</si>
  <si>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</si>
  <si>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</si>
  <si>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</si>
  <si>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</si>
  <si>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</si>
  <si>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</si>
  <si>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</si>
  <si>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</si>
  <si>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</si>
  <si>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</si>
  <si>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</si>
  <si>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</si>
  <si>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</si>
  <si>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</si>
  <si>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</si>
  <si>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</si>
  <si>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</si>
  <si>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</si>
  <si>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</si>
  <si>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</si>
  <si>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</si>
  <si>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</si>
  <si>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</si>
  <si>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</si>
  <si>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</si>
  <si>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</si>
  <si>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</si>
  <si>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</si>
  <si>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</si>
  <si>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</si>
  <si>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</si>
  <si>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</si>
  <si>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</si>
  <si>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</si>
  <si>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</si>
  <si>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</si>
  <si>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</si>
  <si>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</si>
  <si>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</si>
  <si>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</si>
  <si>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</si>
  <si>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</si>
  <si>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</si>
  <si>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</si>
  <si>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</si>
  <si>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</si>
  <si>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</si>
  <si>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</si>
  <si>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</si>
  <si>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</si>
  <si>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</si>
  <si>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</si>
  <si>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</si>
  <si>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</si>
  <si>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</si>
  <si>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</si>
  <si>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</si>
  <si>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</si>
  <si>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</si>
  <si>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</si>
  <si>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</si>
  <si>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</si>
  <si>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</si>
  <si>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</si>
  <si>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</si>
  <si>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</si>
  <si>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</si>
  <si>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</si>
  <si>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</si>
  <si>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</si>
  <si>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</si>
  <si>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</si>
  <si>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</si>
  <si>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</si>
  <si>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</si>
  <si>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</si>
  <si>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</si>
  <si>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</si>
  <si>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</si>
  <si>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</si>
  <si>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</si>
  <si>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</si>
  <si>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</si>
  <si>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</si>
  <si>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</si>
  <si>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</si>
  <si>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</si>
  <si>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</si>
  <si>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</si>
  <si>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</si>
  <si>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</si>
  <si>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</si>
  <si>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</si>
  <si>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</si>
  <si>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</si>
  <si>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</si>
  <si>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</si>
  <si>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</si>
  <si>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</si>
  <si>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</si>
  <si>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</si>
  <si>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</si>
  <si>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</si>
  <si>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</si>
  <si>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</si>
  <si>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</si>
  <si>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</si>
  <si>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</si>
  <si>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</si>
  <si>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</si>
  <si>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</si>
  <si>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</si>
  <si>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</si>
  <si>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</si>
  <si>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</si>
  <si>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</si>
  <si>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</si>
  <si>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</si>
  <si>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</si>
  <si>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</si>
  <si>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</si>
  <si>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</si>
  <si>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</si>
  <si>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</si>
  <si>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</si>
  <si>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</si>
  <si>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</si>
  <si>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</si>
  <si>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</si>
  <si>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</si>
  <si>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</si>
  <si>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</si>
  <si>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</si>
  <si>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</si>
  <si>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</si>
  <si>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</si>
  <si>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</si>
  <si>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</si>
  <si>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</si>
  <si>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</si>
  <si>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</si>
  <si>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</si>
  <si>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</si>
  <si>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</si>
  <si>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</si>
  <si>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</si>
  <si>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</si>
  <si>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</si>
  <si>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</si>
  <si>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</si>
  <si>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</si>
  <si>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</si>
  <si>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</si>
  <si>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</si>
  <si>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</si>
  <si>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</si>
  <si>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</si>
  <si>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</si>
  <si>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</si>
  <si>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</si>
  <si>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</si>
  <si>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</si>
  <si>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</si>
  <si>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</si>
  <si>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</si>
  <si>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</si>
  <si>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</si>
  <si>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</si>
  <si>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</si>
  <si>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</si>
  <si>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</si>
  <si>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</si>
  <si>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</si>
  <si>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</si>
  <si>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</si>
  <si>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</si>
  <si>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</si>
  <si>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</si>
  <si>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</si>
  <si>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</si>
  <si>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</si>
  <si>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</si>
  <si>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</si>
  <si>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</si>
  <si>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</si>
  <si>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</si>
  <si>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</si>
  <si>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</si>
  <si>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</si>
  <si>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</si>
  <si>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</si>
  <si>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</si>
  <si>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</si>
  <si>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</si>
  <si>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</si>
  <si>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</si>
  <si>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</si>
  <si>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</si>
  <si>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</si>
  <si>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</si>
  <si>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</si>
  <si>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</si>
  <si>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</si>
  <si>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</si>
  <si>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</si>
  <si>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</si>
  <si>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</si>
  <si>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</si>
  <si>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</si>
  <si>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</si>
  <si>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</si>
  <si>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</si>
  <si>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</si>
  <si>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</si>
  <si>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</si>
  <si>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</si>
  <si>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</si>
  <si>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</si>
  <si>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</si>
  <si>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</si>
  <si>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</si>
  <si>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</si>
  <si>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</si>
  <si>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</si>
  <si>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</si>
  <si>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</si>
  <si>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</si>
  <si>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</si>
  <si>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</si>
  <si>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</si>
  <si>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</si>
  <si>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</si>
  <si>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</si>
  <si>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</si>
  <si>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</si>
  <si>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</si>
  <si>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</si>
  <si>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</si>
  <si>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</si>
  <si>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</si>
  <si>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</si>
  <si>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</si>
  <si>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</si>
  <si>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</si>
  <si>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</si>
  <si>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</si>
  <si>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</si>
  <si>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</si>
  <si>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</si>
  <si>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</si>
  <si>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</si>
  <si>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</si>
  <si>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</si>
  <si>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</si>
  <si>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</si>
  <si>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</si>
  <si>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</si>
  <si>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</si>
  <si>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</si>
  <si>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</si>
  <si>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</si>
  <si>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</si>
  <si>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</si>
  <si>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</si>
  <si>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</si>
  <si>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</si>
  <si>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</si>
  <si>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</si>
  <si>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</si>
  <si>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</si>
  <si>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</si>
  <si>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</si>
  <si>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</si>
  <si>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</si>
  <si>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</si>
  <si>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</si>
  <si>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</si>
  <si>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</si>
  <si>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</si>
  <si>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</si>
  <si>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</si>
  <si>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</si>
  <si>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</si>
  <si>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</si>
  <si>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</si>
  <si>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</si>
  <si>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</si>
  <si>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</si>
  <si>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</si>
  <si>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</si>
  <si>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</si>
  <si>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</si>
  <si>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</si>
  <si>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</si>
  <si>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</si>
  <si>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</si>
  <si>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</si>
  <si>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</si>
  <si>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</si>
  <si>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</si>
  <si>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</si>
  <si>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</si>
  <si>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</si>
  <si>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</si>
  <si>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</si>
  <si>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</si>
  <si>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</si>
  <si>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</si>
  <si>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</si>
  <si>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</si>
  <si>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</si>
  <si>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</si>
  <si>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</si>
  <si>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</si>
  <si>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</si>
  <si>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</si>
  <si>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</si>
  <si>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</si>
  <si>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</si>
  <si>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</si>
  <si>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</si>
  <si>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</si>
  <si>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</si>
  <si>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</si>
  <si>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</si>
  <si>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</si>
  <si>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</si>
  <si>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</si>
  <si>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</si>
  <si>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</si>
  <si>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</si>
  <si>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</si>
  <si>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</si>
  <si>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</si>
  <si>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</si>
  <si>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</si>
  <si>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</si>
  <si>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</si>
  <si>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</si>
  <si>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</si>
  <si>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</si>
  <si>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</si>
  <si>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</si>
  <si>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</si>
  <si>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</si>
  <si>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</si>
  <si>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</si>
  <si>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</si>
  <si>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</si>
  <si>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</si>
  <si>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</si>
  <si>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</si>
  <si>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</si>
  <si>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</si>
  <si>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</si>
  <si>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</si>
  <si>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</si>
  <si>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</si>
  <si>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</si>
  <si>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</si>
  <si>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</si>
  <si>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</si>
  <si>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</si>
  <si>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</si>
  <si>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</si>
  <si>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</si>
  <si>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</si>
  <si>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</si>
  <si>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</si>
  <si>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</si>
  <si>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</si>
  <si>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</si>
  <si>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</si>
  <si>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</si>
  <si>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</si>
  <si>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</si>
  <si>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</si>
  <si>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</si>
  <si>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</si>
  <si>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</si>
  <si>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</si>
  <si>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</si>
  <si>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</si>
  <si>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</si>
  <si>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</si>
  <si>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</si>
  <si>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</si>
  <si>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</si>
  <si>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</si>
  <si>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</si>
  <si>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</si>
  <si>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</si>
  <si>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</si>
  <si>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</si>
  <si>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</si>
  <si>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</si>
  <si>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</si>
  <si>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</si>
  <si>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</si>
  <si>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</si>
  <si>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</si>
  <si>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</si>
  <si>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</si>
  <si>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</si>
  <si>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</si>
  <si>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</si>
  <si>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</si>
  <si>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</si>
  <si>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</si>
  <si>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</si>
  <si>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</si>
  <si>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</si>
  <si>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</si>
  <si>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</si>
  <si>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</si>
  <si>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</si>
  <si>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</si>
  <si>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</si>
  <si>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</si>
  <si>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</si>
  <si>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</si>
  <si>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</si>
  <si>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</si>
  <si>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</si>
  <si>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</si>
  <si>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</si>
  <si>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</si>
  <si>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</si>
  <si>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</si>
  <si>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</si>
  <si>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</si>
  <si>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</si>
  <si>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</si>
  <si>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</si>
  <si>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</si>
  <si>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</si>
  <si>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</si>
  <si>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</si>
  <si>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</si>
  <si>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</si>
  <si>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</si>
  <si>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</si>
  <si>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</si>
  <si>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</si>
  <si>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</si>
  <si>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</si>
  <si>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</si>
  <si>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</si>
  <si>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</si>
  <si>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</si>
  <si>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</si>
  <si>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</si>
  <si>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</si>
  <si>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</si>
  <si>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</si>
  <si>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</si>
  <si>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</si>
  <si>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</si>
  <si>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</si>
  <si>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</si>
  <si>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</si>
  <si>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</si>
  <si>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</si>
  <si>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</si>
  <si>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</si>
  <si>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</si>
  <si>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</si>
  <si>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</si>
  <si>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</si>
  <si>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</si>
  <si>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</si>
  <si>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</si>
  <si>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</si>
  <si>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</si>
  <si>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</si>
  <si>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</si>
  <si>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</si>
  <si>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</si>
  <si>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</si>
  <si>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</si>
  <si>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</si>
  <si>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</si>
  <si>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</si>
  <si>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</si>
  <si>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</si>
  <si>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</si>
  <si>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</si>
  <si>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</si>
  <si>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</si>
  <si>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</si>
  <si>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</si>
  <si>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</si>
  <si>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</si>
  <si>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</si>
  <si>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</si>
  <si>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</si>
  <si>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</si>
  <si>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</si>
  <si>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</si>
  <si>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</si>
  <si>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</si>
  <si>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</si>
  <si>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</si>
  <si>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</si>
  <si>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</si>
  <si>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</si>
  <si>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</si>
  <si>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</si>
  <si>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</si>
  <si>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</si>
  <si>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</si>
  <si>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</si>
  <si>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</si>
  <si>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</si>
  <si>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</si>
  <si>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</si>
  <si>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</si>
  <si>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</si>
  <si>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</si>
  <si>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</si>
  <si>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</si>
  <si>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</si>
  <si>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</si>
  <si>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</si>
  <si>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</si>
  <si>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</si>
  <si>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</si>
  <si>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</si>
  <si>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</si>
  <si>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</si>
  <si>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</si>
  <si>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</si>
  <si>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</si>
  <si>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</si>
  <si>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</si>
  <si>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</si>
  <si>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</si>
  <si>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</si>
  <si>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</si>
  <si>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</si>
  <si>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</si>
  <si>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</si>
  <si>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</si>
  <si>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</si>
  <si>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</si>
  <si>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</si>
  <si>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</si>
  <si>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</si>
  <si>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</si>
  <si>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</si>
  <si>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</si>
  <si>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</si>
  <si>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</si>
  <si>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</si>
  <si>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</si>
  <si>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</si>
  <si>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</si>
  <si>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</si>
  <si>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</si>
  <si>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</si>
  <si>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</si>
  <si>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</si>
  <si>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</si>
  <si>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</si>
  <si>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</si>
  <si>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</si>
  <si>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</si>
  <si>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</si>
  <si>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</si>
  <si>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</si>
  <si>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</si>
  <si>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</si>
  <si>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</si>
  <si>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</si>
  <si>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</si>
  <si>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</si>
  <si>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</si>
  <si>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</si>
  <si>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</si>
  <si>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</si>
  <si>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</si>
  <si>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</si>
  <si>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</si>
  <si>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</si>
  <si>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</si>
  <si>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</si>
  <si>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</si>
  <si>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</si>
  <si>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</si>
  <si>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</si>
  <si>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</si>
  <si>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</si>
  <si>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</si>
  <si>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</si>
  <si>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</si>
  <si>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</si>
  <si>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</si>
  <si>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</si>
  <si>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</si>
  <si>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</si>
  <si>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</si>
  <si>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</si>
  <si>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</si>
  <si>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</si>
  <si>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</si>
  <si>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</si>
  <si>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</si>
  <si>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</si>
  <si>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</si>
  <si>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</si>
  <si>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</si>
  <si>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</si>
  <si>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</si>
  <si>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</si>
  <si>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</si>
  <si>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</si>
  <si>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</si>
  <si>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</si>
  <si>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</si>
  <si>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</si>
  <si>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</si>
  <si>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</si>
  <si>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</si>
  <si>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</si>
  <si>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</si>
  <si>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</si>
  <si>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</si>
  <si>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</si>
  <si>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</si>
  <si>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</si>
  <si>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</si>
  <si>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</si>
  <si>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</si>
  <si>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</si>
  <si>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</si>
  <si>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</si>
  <si>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</si>
  <si>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</si>
  <si>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</si>
  <si>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</si>
  <si>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</si>
  <si>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</si>
  <si>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</si>
  <si>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</si>
  <si>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</si>
  <si>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</si>
  <si>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</si>
  <si>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</si>
  <si>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</si>
  <si>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</si>
  <si>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</si>
  <si>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</si>
  <si>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</si>
  <si>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</si>
  <si>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</si>
  <si>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</si>
  <si>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</si>
  <si>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</si>
  <si>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</si>
  <si>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</si>
  <si>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</si>
  <si>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</si>
  <si>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</si>
  <si>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</si>
  <si>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</si>
  <si>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</si>
  <si>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</si>
  <si>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</si>
  <si>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</si>
  <si>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</si>
  <si>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</si>
  <si>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</si>
  <si>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</si>
  <si>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</si>
  <si>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</si>
  <si>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</si>
  <si>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</si>
  <si>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</si>
  <si>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</si>
  <si>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</si>
  <si>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</si>
  <si>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</si>
  <si>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</si>
  <si>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</si>
  <si>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</si>
  <si>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</si>
  <si>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</si>
  <si>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</si>
  <si>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</si>
  <si>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</si>
  <si>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</si>
  <si>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</si>
  <si>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</si>
  <si>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</si>
  <si>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</si>
  <si>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</si>
  <si>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</si>
  <si>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</si>
  <si>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</si>
  <si>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</si>
  <si>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</si>
  <si>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</si>
  <si>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</si>
  <si>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</si>
  <si>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</si>
  <si>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</si>
  <si>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</si>
  <si>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</si>
  <si>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</si>
  <si>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</si>
  <si>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</si>
  <si>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</si>
  <si>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</si>
  <si>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</si>
  <si>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</si>
  <si>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</si>
  <si>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</si>
  <si>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</si>
  <si>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</si>
  <si>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</si>
  <si>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</si>
  <si>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</si>
  <si>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</si>
  <si>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</si>
  <si>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</si>
  <si>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</si>
  <si>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</si>
  <si>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</si>
  <si>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</si>
  <si>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</si>
  <si>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</si>
  <si>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</si>
  <si>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</si>
  <si>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</si>
  <si>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</si>
  <si>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</si>
  <si>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</si>
  <si>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</si>
  <si>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</si>
  <si>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</si>
  <si>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</si>
  <si>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</si>
  <si>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</si>
  <si>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</si>
  <si>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</si>
  <si>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</si>
  <si>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</si>
  <si>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</si>
  <si>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</si>
  <si>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</si>
  <si>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</si>
  <si>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</si>
  <si>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</si>
  <si>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</si>
  <si>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</si>
  <si>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</si>
  <si>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</si>
  <si>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</si>
  <si>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</si>
  <si>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</si>
  <si>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</si>
  <si>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</si>
  <si>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</si>
  <si>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</si>
  <si>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</si>
  <si>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</si>
  <si>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</si>
  <si>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</si>
  <si>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</si>
  <si>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</si>
  <si>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</si>
  <si>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</si>
  <si>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</si>
  <si>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</si>
  <si>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</si>
  <si>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</si>
  <si>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</si>
  <si>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</si>
  <si>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</si>
  <si>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</si>
  <si>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</si>
  <si>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</si>
  <si>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</si>
  <si>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</si>
  <si>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</si>
  <si>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</si>
  <si>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</si>
  <si>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</si>
  <si>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</si>
  <si>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</si>
  <si>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</si>
  <si>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</si>
  <si>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</si>
  <si>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</si>
  <si>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</si>
  <si>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</si>
  <si>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</si>
  <si>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</si>
  <si>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</si>
  <si>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</si>
  <si>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</si>
  <si>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</si>
  <si>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</si>
  <si>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</si>
  <si>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</si>
  <si>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</si>
  <si>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</si>
  <si>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</si>
  <si>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</si>
  <si>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</si>
  <si>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</si>
  <si>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</si>
  <si>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</si>
  <si>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</si>
  <si>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</si>
  <si>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</si>
  <si>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</si>
  <si>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</si>
  <si>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</si>
  <si>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</si>
  <si>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</si>
  <si>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</si>
  <si>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</si>
  <si>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</si>
  <si>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</si>
  <si>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</si>
  <si>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</si>
  <si>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</si>
  <si>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</si>
  <si>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</si>
  <si>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</si>
  <si>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</si>
  <si>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</si>
  <si>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</si>
  <si>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</si>
  <si>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</si>
  <si>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</si>
  <si>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</si>
  <si>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</si>
  <si>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</si>
  <si>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</si>
  <si>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</si>
  <si>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</si>
  <si>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</si>
  <si>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</si>
  <si>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</si>
  <si>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</si>
  <si>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</si>
  <si>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</si>
  <si>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</si>
  <si>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</si>
  <si>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</si>
  <si>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</si>
  <si>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</si>
  <si>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</si>
  <si>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</si>
  <si>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</si>
  <si>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</si>
  <si>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</si>
  <si>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</si>
  <si>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</si>
  <si>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</si>
  <si>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</si>
  <si>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</si>
  <si>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</si>
  <si>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</si>
  <si>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</si>
  <si>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</si>
  <si>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</si>
  <si>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</si>
  <si>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</si>
  <si>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</si>
  <si>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</si>
  <si>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</si>
  <si>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</si>
  <si>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</si>
  <si>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</si>
  <si>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</si>
  <si>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</si>
  <si>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</si>
  <si>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</si>
  <si>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</si>
  <si>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</si>
  <si>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</si>
  <si>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</si>
  <si>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</si>
  <si>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</si>
  <si>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</si>
  <si>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</si>
  <si>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</si>
  <si>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</si>
  <si>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</si>
  <si>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</si>
  <si>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</si>
  <si>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</si>
  <si>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</si>
  <si>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</si>
  <si>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</si>
  <si>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</si>
  <si>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</si>
  <si>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</si>
  <si>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</si>
  <si>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</si>
  <si>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</si>
  <si>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</si>
  <si>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</si>
  <si>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</si>
  <si>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</si>
  <si>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</si>
  <si>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</si>
  <si>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</si>
  <si>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</si>
  <si>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</si>
  <si>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</si>
  <si>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</si>
  <si>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</si>
  <si>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</si>
  <si>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</si>
  <si>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</si>
  <si>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</si>
  <si>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</si>
  <si>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</si>
  <si>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</si>
  <si>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</si>
  <si>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</si>
  <si>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</si>
  <si>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</si>
  <si>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</si>
  <si>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</si>
  <si>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</si>
  <si>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</si>
  <si>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</si>
  <si>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</si>
  <si>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</si>
  <si>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</si>
  <si>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</si>
  <si>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</si>
  <si>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</si>
  <si>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</si>
  <si>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</si>
  <si>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</si>
  <si>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</si>
  <si>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</si>
  <si>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</si>
  <si>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</si>
  <si>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</si>
  <si>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</si>
  <si>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</si>
  <si>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</si>
  <si>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</si>
  <si>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</si>
  <si>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</si>
  <si>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</si>
  <si>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</si>
  <si>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</si>
  <si>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</si>
  <si>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</si>
  <si>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</si>
  <si>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</si>
  <si>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</si>
  <si>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</si>
  <si>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</si>
  <si>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</si>
  <si>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</si>
  <si>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</si>
  <si>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</si>
  <si>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</si>
  <si>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</si>
  <si>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</si>
  <si>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</si>
  <si>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</si>
  <si>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</si>
  <si>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</si>
  <si>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</si>
  <si>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</si>
  <si>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</si>
  <si>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</si>
  <si>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</si>
  <si>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</si>
  <si>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</si>
  <si>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</si>
  <si>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</si>
  <si>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</si>
  <si>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</si>
  <si>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</si>
  <si>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</si>
  <si>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</si>
  <si>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</si>
  <si>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</si>
  <si>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</si>
  <si>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</si>
  <si>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</si>
  <si>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</si>
  <si>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</si>
  <si>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</si>
  <si>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</si>
  <si>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</si>
  <si>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</si>
  <si>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</si>
  <si>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</si>
  <si>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</si>
  <si>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</si>
  <si>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</si>
  <si>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</si>
  <si>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</si>
  <si>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</si>
  <si>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</si>
  <si>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</si>
  <si>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</si>
  <si>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</si>
  <si>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</si>
  <si>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</si>
  <si>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</si>
  <si>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</si>
  <si>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</si>
  <si>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</si>
  <si>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</si>
  <si>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</si>
  <si>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</si>
  <si>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</si>
  <si>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</si>
  <si>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</si>
  <si>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</si>
  <si>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</si>
  <si>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</si>
  <si>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</si>
  <si>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</si>
  <si>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</si>
  <si>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</si>
  <si>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</si>
  <si>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</si>
  <si>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</si>
  <si>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</si>
  <si>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</si>
  <si>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</si>
  <si>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</si>
  <si>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</si>
  <si>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</si>
  <si>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</si>
  <si>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</si>
  <si>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</si>
  <si>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</si>
  <si>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</si>
  <si>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</si>
  <si>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</si>
  <si>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</si>
  <si>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</si>
  <si>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</si>
  <si>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</si>
  <si>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</si>
  <si>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</si>
  <si>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</si>
  <si>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</si>
  <si>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</si>
  <si>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</si>
  <si>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</si>
  <si>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</si>
  <si>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</si>
  <si>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</si>
  <si>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</si>
  <si>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</si>
  <si>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</si>
  <si>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</si>
  <si>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</si>
  <si>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</si>
  <si>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</si>
  <si>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</si>
  <si>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</si>
  <si>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</si>
  <si>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</si>
  <si>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</si>
  <si>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</si>
  <si>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</si>
  <si>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</si>
  <si>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</si>
  <si>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</si>
  <si>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</si>
  <si>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</si>
  <si>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</si>
  <si>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</si>
  <si>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</si>
  <si>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</si>
  <si>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</si>
  <si>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</si>
  <si>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</si>
  <si>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</si>
  <si>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</si>
  <si>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</si>
  <si>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</si>
  <si>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</si>
  <si>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</si>
  <si>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</si>
  <si>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</si>
  <si>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</si>
  <si>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</si>
  <si>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</si>
  <si>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</si>
  <si>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</si>
  <si>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</si>
  <si>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</si>
  <si>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</si>
  <si>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</si>
  <si>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</si>
  <si>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</si>
  <si>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</si>
  <si>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</si>
  <si>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</si>
  <si>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</si>
  <si>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</si>
  <si>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</si>
  <si>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</si>
  <si>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</si>
  <si>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</si>
  <si>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</si>
  <si>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</si>
  <si>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</si>
  <si>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</si>
  <si>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</si>
  <si>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</si>
  <si>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</si>
  <si>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</si>
  <si>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</si>
  <si>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</si>
  <si>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</si>
  <si>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</si>
  <si>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</si>
  <si>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</si>
  <si>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</si>
  <si>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</si>
  <si>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</si>
  <si>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</si>
  <si>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</si>
  <si>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</si>
  <si>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</si>
  <si>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</si>
  <si>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</si>
  <si>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</si>
  <si>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</si>
  <si>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</si>
  <si>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</si>
  <si>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</si>
  <si>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</si>
  <si>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</si>
  <si>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</si>
  <si>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</si>
  <si>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</si>
  <si>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</si>
  <si>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</si>
  <si>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</si>
  <si>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</si>
  <si>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</si>
  <si>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</si>
  <si>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</si>
  <si>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</si>
  <si>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</si>
  <si>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</si>
  <si>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</si>
  <si>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</si>
  <si>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</si>
  <si>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</si>
  <si>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</si>
  <si>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</si>
  <si>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</si>
  <si>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</si>
  <si>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</si>
  <si>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</si>
  <si>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</si>
  <si>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</si>
  <si>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</si>
  <si>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</si>
  <si>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</si>
  <si>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</si>
  <si>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</si>
  <si>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</si>
  <si>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</si>
  <si>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</si>
  <si>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</si>
  <si>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</si>
  <si>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</si>
  <si>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</si>
  <si>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</si>
  <si>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</si>
  <si>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</si>
  <si>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</si>
  <si>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</si>
  <si>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</si>
  <si>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</si>
  <si>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</si>
  <si>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</si>
  <si>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</si>
  <si>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</si>
  <si>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</si>
  <si>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</si>
  <si>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</si>
  <si>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</si>
  <si>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</si>
  <si>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</si>
  <si>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</si>
  <si>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</si>
  <si>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</si>
  <si>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</si>
  <si>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</si>
  <si>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</si>
  <si>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</si>
  <si>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</si>
  <si>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</si>
  <si>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</si>
  <si>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</si>
  <si>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</si>
  <si>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</si>
  <si>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</si>
  <si>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</si>
  <si>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</si>
  <si>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</si>
  <si>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</si>
  <si>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</si>
  <si>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</si>
  <si>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</si>
  <si>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</si>
  <si>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</si>
  <si>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</si>
  <si>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</si>
  <si>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</si>
  <si>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</si>
  <si>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</si>
  <si>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</si>
  <si>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</si>
  <si>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</si>
  <si>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</si>
  <si>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</si>
  <si>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</si>
  <si>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</si>
  <si>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</si>
  <si>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</si>
  <si>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</si>
  <si>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</si>
  <si>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</si>
  <si>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</si>
  <si>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</si>
  <si>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</si>
  <si>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</si>
  <si>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</si>
  <si>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</si>
  <si>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</si>
  <si>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</si>
  <si>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</si>
  <si>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</si>
  <si>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</si>
  <si>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</si>
  <si>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</si>
  <si>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</si>
  <si>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</si>
  <si>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</si>
  <si>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</si>
  <si>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</si>
  <si>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</si>
  <si>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</si>
  <si>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</si>
  <si>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</si>
  <si>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</si>
  <si>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</si>
  <si>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</si>
  <si>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</si>
  <si>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</si>
  <si>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</si>
  <si>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</si>
  <si>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</si>
  <si>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</si>
  <si>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</si>
  <si>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</si>
  <si>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</si>
  <si>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</si>
  <si>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</si>
  <si>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</si>
  <si>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</si>
  <si>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</si>
  <si>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</si>
  <si>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</si>
  <si>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</si>
  <si>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</si>
  <si>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</si>
  <si>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</si>
  <si>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</si>
  <si>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</si>
  <si>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</si>
  <si>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</si>
  <si>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</si>
  <si>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</si>
  <si>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</si>
  <si>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</si>
  <si>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</si>
  <si>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</si>
  <si>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</si>
  <si>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</si>
  <si>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</si>
  <si>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</si>
  <si>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</si>
  <si>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</si>
  <si>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</si>
  <si>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</si>
  <si>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</si>
  <si>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</si>
  <si>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</si>
  <si>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</si>
  <si>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</si>
  <si>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</si>
  <si>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</si>
  <si>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</si>
  <si>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</si>
  <si>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</si>
  <si>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</si>
  <si>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</si>
  <si>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</si>
  <si>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</si>
  <si>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</si>
  <si>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</si>
  <si>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</si>
  <si>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</si>
  <si>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</si>
  <si>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</si>
  <si>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</si>
  <si>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</si>
  <si>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</si>
  <si>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</si>
  <si>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</si>
  <si>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</si>
  <si>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</si>
  <si>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</si>
  <si>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</si>
  <si>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</si>
  <si>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</si>
  <si>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</si>
  <si>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</si>
  <si>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</si>
  <si>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</si>
  <si>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</si>
  <si>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</si>
  <si>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</si>
  <si>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</si>
  <si>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</si>
  <si>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</si>
  <si>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</si>
  <si>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</si>
  <si>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</si>
  <si>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</si>
  <si>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</si>
  <si>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</si>
  <si>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</si>
  <si>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</si>
  <si>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</si>
  <si>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</si>
  <si>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</si>
  <si>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</si>
  <si>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</si>
  <si>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</si>
  <si>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</si>
  <si>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</si>
  <si>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</si>
  <si>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</si>
  <si>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</si>
  <si>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</si>
  <si>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</si>
  <si>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</si>
  <si>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</si>
  <si>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</si>
  <si>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</si>
  <si>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</si>
  <si>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</si>
  <si>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</si>
  <si>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</si>
  <si>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</si>
  <si>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</si>
  <si>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</si>
  <si>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</si>
  <si>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</si>
  <si>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</si>
  <si>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</si>
  <si>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</si>
  <si>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</si>
  <si>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</si>
  <si>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</si>
  <si>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</si>
  <si>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</si>
  <si>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</si>
  <si>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</si>
  <si>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</si>
  <si>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</si>
  <si>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</si>
  <si>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</si>
  <si>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</si>
  <si>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</si>
  <si>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</si>
  <si>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</si>
  <si>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</si>
  <si>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</si>
  <si>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</si>
  <si>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</si>
  <si>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</si>
  <si>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</si>
  <si>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</si>
  <si>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</si>
  <si>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</si>
  <si>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</si>
  <si>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</si>
  <si>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</si>
  <si>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</si>
  <si>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</si>
  <si>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</si>
  <si>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</si>
  <si>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</si>
  <si>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</si>
  <si>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</si>
  <si>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</si>
  <si>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</si>
  <si>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</si>
  <si>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</si>
  <si>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</si>
  <si>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</si>
  <si>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</si>
  <si>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</si>
  <si>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</si>
  <si>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</si>
  <si>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</si>
  <si>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</si>
  <si>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</si>
  <si>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</si>
  <si>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</si>
  <si>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</si>
  <si>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</si>
  <si>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</si>
  <si>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</si>
  <si>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</si>
  <si>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</si>
  <si>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</si>
  <si>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</si>
  <si>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</si>
  <si>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</si>
  <si>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</si>
  <si>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</si>
  <si>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</si>
  <si>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</si>
  <si>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</si>
  <si>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</si>
  <si>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</si>
  <si>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</si>
  <si>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</si>
  <si>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</si>
  <si>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</si>
  <si>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</si>
  <si>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</si>
  <si>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</si>
  <si>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</si>
  <si>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</si>
  <si>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</si>
  <si>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</si>
  <si>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</si>
  <si>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</si>
  <si>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</si>
  <si>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</si>
  <si>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</si>
  <si>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</si>
  <si>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</si>
  <si>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</si>
  <si>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</si>
  <si>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</si>
  <si>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</si>
  <si>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</si>
  <si>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</si>
  <si>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</si>
  <si>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</si>
  <si>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</si>
  <si>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</si>
  <si>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</si>
  <si>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</si>
  <si>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</si>
  <si>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</si>
  <si>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</si>
  <si>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</si>
  <si>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</si>
  <si>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</si>
  <si>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</si>
  <si>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</si>
  <si>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</si>
  <si>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</si>
  <si>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</si>
  <si>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</si>
  <si>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</si>
  <si>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</si>
  <si>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</si>
  <si>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</si>
  <si>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</si>
  <si>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</si>
  <si>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</si>
  <si>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</si>
  <si>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</si>
  <si>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</si>
  <si>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</si>
  <si>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</si>
  <si>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</si>
  <si>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</si>
  <si>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</si>
  <si>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</si>
  <si>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</si>
  <si>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</si>
  <si>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</si>
  <si>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</si>
  <si>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</si>
  <si>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</si>
  <si>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</si>
  <si>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</si>
  <si>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</si>
  <si>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</si>
  <si>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</si>
  <si>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</si>
  <si>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</si>
  <si>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</si>
  <si>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</si>
  <si>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</si>
  <si>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</si>
  <si>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</si>
  <si>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</si>
  <si>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</si>
  <si>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</si>
  <si>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</si>
  <si>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</si>
  <si>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</si>
  <si>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</si>
  <si>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</si>
  <si>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</si>
  <si>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</si>
  <si>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</si>
  <si>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</si>
  <si>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</si>
  <si>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</si>
  <si>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</si>
  <si>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</si>
  <si>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</si>
  <si>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</si>
  <si>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</si>
  <si>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</si>
  <si>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</si>
  <si>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</si>
  <si>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</si>
  <si>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</si>
  <si>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</si>
  <si>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</si>
  <si>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</si>
  <si>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</si>
  <si>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</si>
  <si>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</si>
  <si>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</si>
  <si>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</si>
  <si>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</si>
  <si>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</si>
  <si>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</si>
  <si>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</si>
  <si>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</si>
  <si>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</si>
  <si>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</si>
  <si>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</si>
  <si>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</si>
  <si>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</si>
  <si>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</si>
  <si>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</si>
  <si>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</si>
  <si>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</si>
  <si>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</si>
  <si>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</si>
  <si>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</si>
  <si>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</si>
  <si>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</si>
  <si>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</si>
  <si>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</si>
  <si>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</si>
  <si>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</si>
  <si>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</si>
  <si>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</si>
  <si>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</si>
  <si>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</si>
  <si>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</si>
  <si>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</si>
  <si>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</si>
  <si>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</si>
  <si>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</si>
  <si>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</si>
  <si>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</si>
  <si>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</si>
  <si>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</si>
  <si>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</si>
  <si>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</si>
  <si>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</si>
  <si>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</si>
  <si>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</si>
  <si>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</si>
  <si>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</si>
  <si>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</si>
  <si>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</si>
  <si>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</si>
  <si>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</si>
  <si>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</si>
  <si>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</si>
  <si>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</si>
  <si>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</si>
  <si>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</si>
  <si>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</si>
  <si>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</si>
  <si>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</si>
  <si>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</si>
  <si>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</si>
  <si>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</si>
  <si>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</si>
  <si>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</si>
  <si>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</si>
  <si>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</si>
  <si>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</si>
  <si>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</si>
  <si>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</si>
  <si>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</si>
  <si>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</si>
  <si>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</si>
  <si>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</si>
  <si>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</si>
  <si>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</si>
  <si>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</si>
  <si>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</si>
  <si>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</si>
  <si>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</si>
  <si>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</si>
  <si>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</si>
  <si>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</si>
  <si>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</si>
  <si>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</si>
  <si>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</si>
  <si>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</si>
  <si>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</si>
  <si>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</si>
  <si>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</si>
  <si>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</si>
  <si>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</si>
  <si>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</si>
  <si>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</si>
  <si>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</si>
  <si>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</si>
  <si>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</si>
  <si>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</si>
  <si>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</si>
  <si>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</si>
  <si>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</si>
  <si>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</si>
  <si>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</si>
  <si>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</si>
  <si>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</si>
  <si>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</si>
  <si>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</si>
  <si>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</si>
  <si>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</si>
  <si>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</si>
  <si>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</si>
  <si>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</si>
  <si>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</si>
  <si>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</si>
  <si>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</si>
  <si>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</si>
  <si>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</si>
  <si>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</si>
  <si>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</si>
  <si>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</si>
  <si>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</si>
  <si>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</si>
  <si>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</si>
  <si>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</si>
  <si>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</si>
  <si>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</si>
  <si>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</si>
  <si>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</si>
  <si>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</si>
  <si>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</si>
  <si>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</si>
  <si>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</si>
  <si>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</si>
  <si>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</si>
  <si>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</si>
  <si>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</si>
  <si>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</si>
  <si>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</si>
  <si>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</si>
  <si>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</si>
  <si>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</si>
  <si>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</si>
  <si>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</si>
  <si>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</si>
  <si>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</si>
  <si>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</si>
  <si>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</si>
  <si>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</si>
  <si>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</si>
  <si>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</si>
  <si>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</si>
  <si>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</si>
  <si>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</si>
  <si>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</si>
  <si>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</si>
  <si>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</si>
  <si>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</si>
  <si>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</si>
  <si>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</si>
  <si>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</si>
  <si>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</si>
  <si>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</si>
  <si>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</si>
  <si>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</si>
  <si>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</si>
  <si>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</si>
  <si>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</si>
  <si>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</si>
  <si>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</si>
  <si>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</si>
  <si>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</si>
  <si>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</si>
  <si>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</si>
  <si>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</si>
  <si>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</si>
  <si>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</si>
  <si>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</si>
  <si>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</si>
  <si>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</si>
  <si>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</si>
  <si>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</si>
  <si>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</si>
  <si>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</si>
  <si>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</si>
  <si>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</si>
  <si>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</si>
  <si>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</si>
  <si>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</si>
  <si>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</si>
  <si>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</si>
  <si>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</si>
  <si>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</si>
  <si>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</si>
  <si>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</si>
  <si>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</si>
  <si>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</si>
  <si>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</si>
  <si>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</si>
  <si>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</si>
  <si>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</si>
  <si>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</si>
  <si>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</si>
  <si>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</si>
  <si>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</si>
  <si>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</si>
  <si>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</si>
  <si>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</si>
  <si>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</si>
  <si>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</si>
  <si>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</si>
  <si>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</si>
  <si>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</si>
  <si>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</si>
  <si>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</si>
  <si>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</si>
  <si>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</si>
  <si>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</si>
  <si>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</si>
  <si>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</si>
  <si>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</si>
  <si>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</si>
  <si>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</si>
  <si>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</si>
  <si>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</si>
  <si>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</si>
  <si>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</si>
  <si>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</si>
  <si>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</si>
  <si>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</si>
  <si>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</si>
  <si>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</si>
  <si>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</si>
  <si>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</si>
  <si>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</si>
  <si>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</si>
  <si>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</si>
  <si>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</si>
  <si>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</si>
  <si>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</si>
  <si>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</si>
  <si>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</si>
  <si>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</si>
  <si>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</si>
  <si>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</si>
  <si>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</si>
  <si>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</si>
  <si>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</si>
  <si>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</si>
  <si>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</si>
  <si>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</si>
  <si>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</si>
  <si>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</si>
  <si>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</si>
  <si>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</si>
  <si>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</si>
  <si>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</si>
  <si>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</si>
  <si>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</si>
  <si>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</si>
  <si>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</si>
  <si>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</si>
  <si>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</si>
  <si>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</si>
  <si>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</si>
  <si>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</si>
  <si>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</si>
  <si>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</si>
  <si>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</si>
  <si>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</si>
  <si>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</si>
  <si>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</si>
  <si>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</si>
  <si>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</si>
  <si>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</si>
  <si>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</si>
  <si>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</si>
  <si>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</si>
  <si>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</si>
  <si>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</si>
  <si>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</si>
  <si>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</si>
  <si>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</si>
  <si>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</si>
  <si>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</si>
  <si>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</si>
  <si>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</si>
  <si>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</si>
  <si>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</si>
  <si>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</si>
  <si>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</si>
  <si>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</si>
  <si>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</si>
  <si>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</si>
  <si>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</si>
  <si>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</si>
  <si>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</si>
  <si>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</si>
  <si>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</si>
  <si>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</si>
  <si>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</si>
  <si>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</si>
  <si>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</si>
  <si>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</si>
  <si>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</si>
  <si>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</si>
  <si>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</si>
  <si>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</si>
  <si>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</si>
  <si>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</si>
  <si>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</si>
  <si>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</si>
  <si>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</si>
  <si>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</si>
  <si>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</si>
  <si>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</si>
  <si>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</si>
  <si>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</si>
  <si>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</si>
  <si>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</si>
  <si>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</si>
  <si>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</si>
  <si>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</si>
  <si>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</si>
  <si>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</si>
  <si>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</si>
  <si>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</si>
  <si>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</si>
  <si>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</si>
  <si>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</si>
  <si>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</si>
  <si>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</si>
  <si>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</si>
  <si>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</si>
  <si>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</si>
  <si>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</si>
  <si>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</si>
  <si>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</si>
  <si>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</si>
  <si>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</si>
  <si>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</si>
  <si>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</si>
  <si>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</si>
  <si>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</si>
  <si>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</si>
  <si>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</si>
  <si>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</si>
  <si>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</si>
  <si>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</si>
  <si>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</si>
  <si>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</si>
  <si>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</si>
  <si>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</si>
  <si>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</si>
  <si>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</si>
  <si>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</si>
  <si>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</si>
  <si>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</si>
  <si>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</si>
  <si>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</si>
  <si>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</si>
  <si>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</si>
  <si>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</si>
  <si>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</si>
  <si>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</si>
  <si>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</si>
  <si>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</si>
  <si>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</si>
  <si>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</si>
  <si>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</si>
  <si>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</si>
  <si>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</si>
  <si>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</si>
  <si>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</si>
  <si>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</si>
  <si>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</si>
  <si>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</si>
  <si>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</si>
  <si>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</si>
  <si>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</si>
  <si>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</si>
  <si>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</si>
  <si>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</si>
  <si>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</si>
  <si>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</si>
  <si>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</si>
  <si>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</si>
  <si>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</si>
  <si>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</si>
  <si>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</si>
  <si>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</si>
  <si>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</si>
  <si>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</si>
  <si>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</si>
  <si>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</si>
  <si>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</si>
  <si>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</si>
  <si>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</si>
  <si>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</si>
  <si>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</si>
  <si>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</si>
  <si>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</si>
  <si>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</si>
  <si>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</si>
  <si>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</si>
  <si>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</si>
  <si>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</si>
  <si>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</si>
  <si>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</si>
  <si>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</si>
  <si>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</si>
  <si>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</si>
  <si>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</si>
  <si>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</si>
  <si>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</si>
  <si>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</si>
  <si>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</si>
  <si>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</si>
  <si>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</si>
  <si>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</si>
  <si>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</si>
  <si>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</si>
  <si>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</si>
  <si>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</si>
  <si>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</si>
  <si>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</si>
  <si>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</si>
  <si>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</si>
  <si>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</si>
  <si>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</si>
  <si>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</si>
  <si>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</si>
  <si>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</si>
  <si>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</si>
  <si>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</si>
  <si>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</si>
  <si>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</si>
  <si>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</si>
  <si>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</si>
  <si>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</si>
  <si>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</si>
  <si>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</si>
  <si>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</si>
  <si>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</si>
  <si>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</si>
  <si>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</si>
  <si>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</si>
  <si>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</si>
  <si>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</si>
  <si>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</si>
  <si>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</si>
  <si>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</si>
  <si>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</si>
  <si>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</si>
  <si>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</si>
  <si>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</si>
  <si>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</si>
  <si>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</si>
  <si>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</si>
  <si>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</si>
  <si>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</si>
  <si>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</si>
  <si>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</si>
  <si>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</si>
  <si>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</si>
  <si>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</si>
  <si>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</si>
  <si>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</si>
  <si>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</si>
  <si>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</si>
  <si>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</si>
  <si>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</si>
  <si>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</si>
  <si>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</si>
  <si>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</si>
  <si>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</si>
  <si>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</si>
  <si>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</si>
  <si>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</si>
  <si>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</si>
  <si>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</si>
  <si>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</si>
  <si>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</si>
  <si>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</si>
  <si>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</si>
  <si>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</si>
  <si>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</si>
  <si>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</si>
  <si>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</si>
  <si>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</si>
  <si>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</si>
  <si>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</si>
  <si>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</si>
  <si>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</si>
  <si>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</si>
  <si>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</si>
  <si>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</si>
  <si>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</si>
  <si>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</si>
  <si>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</si>
  <si>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</si>
  <si>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</si>
  <si>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</si>
  <si>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</si>
  <si>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</si>
  <si>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</si>
  <si>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</si>
  <si>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</si>
  <si>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</si>
  <si>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</si>
  <si>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</si>
  <si>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</si>
  <si>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</si>
  <si>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</si>
  <si>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</si>
  <si>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</si>
  <si>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</si>
  <si>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</si>
  <si>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</si>
  <si>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</si>
  <si>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</si>
  <si>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</si>
  <si>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</si>
  <si>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</si>
  <si>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</si>
  <si>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</si>
  <si>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</si>
  <si>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</si>
  <si>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</si>
  <si>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</si>
  <si>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</si>
  <si>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</si>
  <si>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</si>
  <si>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</si>
  <si>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</si>
  <si>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</si>
  <si>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</si>
  <si>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</si>
  <si>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</si>
  <si>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</si>
  <si>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</si>
  <si>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</si>
  <si>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</si>
  <si>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</si>
  <si>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</si>
  <si>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</si>
  <si>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</si>
  <si>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</si>
  <si>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</si>
  <si>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</si>
  <si>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</si>
  <si>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</si>
  <si>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</si>
  <si>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</si>
  <si>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</si>
  <si>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</si>
  <si>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</si>
  <si>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</si>
  <si>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</si>
  <si>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</si>
  <si>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</si>
  <si>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</si>
  <si>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</si>
  <si>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</si>
  <si>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</si>
  <si>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</si>
  <si>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</si>
  <si>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</si>
  <si>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</si>
  <si>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</si>
  <si>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</si>
  <si>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</si>
  <si>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</si>
  <si>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</si>
  <si>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</si>
  <si>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</si>
  <si>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</si>
  <si>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</si>
  <si>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</si>
  <si>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</si>
  <si>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</si>
  <si>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</si>
  <si>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</si>
  <si>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</si>
  <si>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</si>
  <si>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</si>
  <si>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</si>
  <si>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</si>
  <si>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</si>
  <si>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</si>
  <si>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</si>
  <si>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</si>
  <si>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</si>
  <si>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</si>
  <si>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</si>
  <si>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</si>
  <si>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</si>
  <si>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</si>
  <si>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</si>
  <si>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</si>
  <si>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</si>
  <si>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</si>
  <si>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</si>
  <si>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</si>
  <si>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</si>
  <si>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</si>
  <si>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</si>
  <si>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</si>
  <si>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</si>
  <si>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</si>
  <si>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</si>
  <si>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</si>
  <si>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</si>
  <si>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</si>
  <si>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</si>
  <si>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</si>
  <si>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</si>
  <si>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</si>
  <si>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</si>
  <si>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</si>
  <si>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</si>
  <si>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</si>
  <si>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</si>
  <si>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</si>
  <si>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</si>
  <si>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</si>
  <si>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</si>
  <si>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</si>
  <si>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</si>
  <si>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</si>
  <si>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</si>
  <si>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</si>
  <si>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</si>
  <si>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</si>
  <si>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</si>
  <si>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</si>
  <si>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</si>
  <si>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</si>
  <si>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</si>
  <si>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</si>
  <si>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</si>
  <si>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</si>
  <si>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</si>
  <si>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</si>
  <si>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</si>
  <si>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</si>
  <si>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</si>
  <si>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</si>
  <si>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</si>
  <si>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</si>
  <si>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</si>
  <si>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</si>
  <si>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</si>
  <si>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</si>
  <si>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</si>
  <si>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</si>
  <si>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</si>
  <si>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</si>
  <si>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</si>
  <si>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</si>
  <si>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</si>
  <si>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</si>
  <si>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</si>
  <si>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</si>
  <si>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</si>
  <si>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</si>
  <si>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</si>
  <si>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</si>
  <si>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</si>
  <si>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</si>
  <si>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</si>
  <si>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</si>
  <si>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</si>
  <si>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</si>
  <si>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</si>
  <si>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</si>
  <si>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</si>
  <si>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</si>
  <si>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</si>
  <si>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</si>
  <si>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</si>
  <si>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</si>
  <si>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</si>
  <si>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</si>
  <si>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</si>
  <si>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</si>
  <si>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</si>
  <si>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</si>
  <si>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</si>
  <si>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</si>
  <si>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</si>
  <si>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</si>
  <si>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</si>
  <si>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</si>
  <si>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</si>
  <si>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</si>
  <si>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</si>
  <si>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</si>
  <si>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</si>
  <si>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</si>
  <si>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</si>
  <si>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</si>
  <si>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</si>
  <si>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</si>
  <si>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</si>
  <si>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</si>
  <si>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</si>
  <si>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</si>
  <si>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</si>
  <si>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</si>
  <si>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</si>
  <si>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</si>
  <si>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</si>
  <si>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</si>
  <si>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</si>
  <si>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</si>
  <si>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</si>
  <si>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</si>
  <si>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</si>
  <si>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</si>
  <si>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</si>
  <si>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</si>
  <si>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</si>
  <si>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</si>
  <si>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</si>
  <si>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</si>
  <si>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</si>
  <si>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</si>
  <si>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</si>
  <si>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</si>
  <si>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</si>
  <si>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</si>
  <si>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</si>
  <si>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</si>
  <si>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</si>
  <si>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</si>
  <si>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</si>
  <si>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</si>
  <si>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</si>
  <si>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</si>
  <si>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</si>
  <si>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</si>
  <si>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</si>
  <si>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</si>
  <si>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</si>
  <si>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</si>
  <si>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</si>
  <si>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</si>
  <si>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</si>
  <si>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</si>
  <si>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</si>
  <si>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</si>
  <si>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</si>
  <si>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</si>
  <si>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</si>
  <si>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</si>
  <si>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</si>
  <si>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</si>
  <si>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</si>
  <si>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</si>
  <si>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</si>
  <si>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</si>
  <si>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</si>
  <si>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</si>
  <si>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</si>
  <si>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</si>
  <si>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</si>
  <si>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</si>
  <si>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</si>
  <si>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</si>
  <si>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</si>
  <si>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</si>
  <si>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</si>
  <si>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</si>
  <si>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</si>
  <si>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</si>
  <si>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</si>
  <si>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</si>
  <si>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</si>
  <si>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</si>
  <si>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</si>
  <si>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</si>
  <si>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</si>
  <si>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</si>
  <si>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</si>
  <si>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</si>
  <si>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</si>
  <si>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</si>
  <si>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</si>
  <si>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</si>
  <si>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</si>
  <si>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</si>
  <si>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</si>
  <si>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</si>
  <si>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</si>
  <si>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</si>
  <si>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</si>
  <si>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</si>
  <si>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</si>
  <si>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</si>
  <si>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</si>
  <si>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</si>
  <si>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</si>
  <si>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</si>
  <si>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</si>
  <si>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</si>
  <si>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</si>
  <si>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</si>
  <si>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</si>
  <si>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</si>
  <si>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</si>
  <si>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</si>
  <si>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</si>
  <si>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</si>
  <si>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</si>
  <si>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</si>
  <si>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</si>
  <si>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</si>
  <si>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</si>
  <si>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</si>
  <si>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</si>
  <si>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</si>
  <si>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</si>
  <si>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</si>
  <si>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</si>
  <si>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</si>
  <si>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</si>
  <si>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</si>
  <si>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</si>
  <si>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</si>
  <si>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</si>
  <si>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</si>
  <si>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</si>
  <si>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</si>
  <si>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</si>
  <si>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</si>
  <si>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</si>
  <si>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</si>
  <si>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</si>
  <si>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</si>
  <si>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</si>
  <si>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</si>
  <si>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</si>
  <si>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</si>
  <si>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</si>
  <si>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</si>
  <si>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</si>
  <si>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</si>
  <si>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</si>
  <si>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</si>
  <si>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</si>
  <si>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</si>
  <si>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</si>
  <si>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</si>
  <si>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</si>
  <si>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</si>
  <si>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</si>
  <si>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</si>
  <si>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</si>
  <si>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</si>
  <si>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</si>
  <si>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</si>
  <si>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</si>
  <si>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</si>
  <si>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</si>
  <si>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</si>
  <si>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</si>
  <si>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</si>
  <si>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</si>
  <si>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</si>
  <si>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</si>
  <si>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</si>
  <si>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</si>
  <si>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</si>
  <si>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</si>
  <si>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</si>
  <si>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</si>
  <si>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</si>
  <si>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</si>
  <si>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</si>
  <si>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</si>
  <si>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</si>
  <si>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</si>
  <si>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</si>
  <si>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</si>
  <si>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</si>
  <si>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</si>
  <si>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</si>
  <si>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</si>
  <si>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</si>
  <si>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</si>
  <si>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</si>
  <si>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</si>
  <si>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</si>
  <si>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</si>
  <si>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</si>
  <si>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</si>
  <si>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</si>
  <si>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</si>
  <si>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</si>
  <si>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</si>
  <si>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</si>
  <si>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</si>
  <si>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</si>
  <si>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</si>
  <si>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</si>
  <si>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</si>
  <si>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</si>
  <si>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</si>
  <si>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</si>
  <si>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</si>
  <si>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</si>
  <si>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</si>
  <si>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</si>
  <si>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</si>
  <si>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</si>
  <si>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</si>
  <si>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</si>
  <si>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</si>
  <si>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</si>
  <si>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</si>
  <si>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</si>
  <si>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</si>
  <si>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</si>
  <si>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</si>
  <si>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</si>
  <si>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</si>
  <si>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</si>
  <si>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</si>
  <si>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</si>
  <si>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</si>
  <si>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</si>
  <si>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</si>
  <si>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</si>
  <si>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</si>
  <si>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</si>
  <si>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</si>
  <si>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</si>
  <si>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</si>
  <si>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</si>
  <si>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</si>
  <si>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</si>
  <si>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</si>
  <si>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</si>
  <si>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</si>
  <si>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</si>
  <si>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</si>
  <si>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</si>
  <si>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</si>
  <si>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</si>
  <si>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</si>
  <si>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</si>
  <si>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</si>
  <si>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</si>
  <si>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</si>
  <si>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</si>
  <si>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</si>
  <si>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</si>
  <si>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</si>
  <si>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</si>
  <si>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</si>
  <si>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</si>
  <si>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</si>
  <si>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</si>
  <si>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</si>
  <si>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</si>
  <si>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</si>
  <si>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</si>
  <si>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</si>
  <si>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</si>
  <si>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</si>
  <si>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</si>
  <si>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</si>
  <si>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</si>
  <si>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</si>
  <si>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</si>
  <si>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</si>
  <si>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</si>
  <si>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</si>
  <si>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</si>
  <si>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</si>
  <si>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</si>
  <si>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</si>
  <si>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</si>
  <si>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</si>
  <si>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</si>
  <si>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</si>
  <si>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</si>
  <si>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</si>
  <si>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</si>
  <si>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</si>
  <si>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</si>
  <si>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</si>
  <si>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</si>
  <si>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</si>
  <si>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</si>
  <si>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</si>
  <si>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</si>
  <si>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</si>
  <si>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</si>
  <si>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</si>
  <si>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</si>
  <si>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</si>
  <si>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</si>
  <si>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</si>
  <si>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</si>
  <si>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</si>
  <si>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</si>
  <si>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</si>
  <si>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</si>
  <si>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</si>
  <si>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</si>
  <si>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</si>
  <si>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</si>
  <si>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</si>
  <si>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</si>
  <si>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</si>
  <si>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</si>
  <si>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</si>
  <si>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</si>
  <si>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</si>
  <si>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</si>
  <si>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</si>
  <si>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</si>
  <si>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</si>
  <si>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</si>
  <si>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</si>
  <si>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</si>
  <si>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</si>
  <si>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</si>
  <si>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</si>
  <si>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</si>
  <si>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</si>
  <si>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</si>
  <si>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</si>
  <si>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</si>
  <si>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</si>
  <si>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</si>
  <si>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</si>
  <si>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</si>
  <si>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</si>
  <si>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</si>
  <si>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</si>
  <si>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</si>
  <si>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</si>
  <si>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</si>
  <si>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</si>
  <si>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</si>
  <si>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</si>
  <si>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</si>
  <si>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</si>
  <si>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</si>
  <si>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</si>
  <si>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</si>
  <si>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</si>
  <si>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</si>
  <si>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</si>
  <si>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</si>
  <si>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</si>
  <si>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</si>
  <si>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</si>
  <si>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</si>
  <si>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</si>
  <si>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</si>
  <si>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</si>
  <si>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</si>
  <si>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</si>
  <si>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</si>
  <si>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</si>
  <si>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</si>
  <si>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</si>
  <si>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</si>
  <si>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</si>
  <si>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</si>
  <si>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</si>
  <si>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</si>
  <si>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</si>
  <si>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</si>
  <si>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</si>
  <si>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</si>
  <si>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</si>
  <si>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</si>
  <si>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</si>
  <si>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</si>
  <si>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</si>
  <si>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</si>
  <si>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</si>
  <si>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</si>
  <si>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</si>
  <si>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</si>
  <si>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</si>
  <si>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</si>
  <si>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</si>
  <si>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</si>
  <si>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</si>
  <si>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</si>
  <si>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</si>
  <si>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</si>
  <si>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</si>
  <si>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</si>
  <si>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</si>
  <si>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</si>
  <si>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</si>
  <si>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</si>
  <si>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</si>
  <si>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</si>
  <si>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</si>
  <si>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</si>
  <si>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</si>
  <si>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</si>
  <si>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</si>
  <si>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</si>
  <si>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</si>
  <si>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</si>
  <si>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</si>
  <si>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</si>
  <si>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</si>
  <si>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</si>
  <si>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</si>
  <si>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</si>
  <si>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</si>
  <si>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</si>
  <si>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</si>
  <si>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</si>
  <si>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</si>
  <si>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</si>
  <si>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</si>
  <si>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</si>
  <si>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</si>
  <si>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</si>
  <si>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</si>
  <si>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</si>
  <si>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</si>
  <si>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</si>
  <si>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</si>
  <si>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</si>
  <si>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</si>
  <si>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</si>
  <si>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</si>
  <si>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</si>
  <si>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</si>
  <si>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</si>
  <si>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</si>
  <si>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</si>
  <si>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</si>
  <si>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</si>
  <si>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</si>
  <si>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</si>
  <si>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</si>
  <si>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</si>
  <si>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</si>
  <si>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</si>
  <si>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</si>
  <si>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</si>
  <si>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</si>
  <si>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</si>
  <si>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</si>
  <si>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</si>
  <si>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</si>
  <si>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</si>
  <si>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</si>
  <si>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</si>
  <si>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</si>
  <si>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</si>
  <si>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</si>
  <si>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</si>
  <si>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</si>
  <si>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</si>
  <si>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</si>
  <si>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</si>
  <si>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</si>
  <si>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</si>
  <si>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</si>
  <si>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</si>
  <si>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</si>
  <si>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</si>
  <si>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</si>
  <si>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</si>
  <si>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</si>
  <si>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</si>
  <si>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</si>
  <si>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</si>
  <si>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</si>
  <si>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</si>
  <si>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</si>
  <si>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</si>
  <si>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</si>
  <si>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</si>
  <si>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</si>
  <si>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</si>
  <si>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</si>
  <si>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</si>
  <si>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</si>
  <si>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</si>
  <si>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</si>
  <si>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</si>
  <si>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</si>
  <si>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</si>
  <si>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</si>
  <si>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</si>
  <si>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</si>
  <si>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</si>
  <si>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</si>
  <si>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</si>
  <si>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</si>
  <si>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</si>
  <si>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</si>
  <si>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</si>
  <si>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</si>
  <si>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</si>
  <si>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</si>
  <si>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</si>
  <si>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</si>
  <si>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</si>
  <si>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</si>
  <si>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</si>
  <si>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</si>
  <si>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</si>
  <si>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</si>
  <si>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</si>
  <si>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</si>
  <si>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</si>
  <si>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</si>
  <si>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</si>
  <si>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</si>
  <si>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</si>
  <si>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</si>
  <si>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</si>
  <si>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</si>
  <si>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</si>
  <si>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</si>
  <si>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</si>
  <si>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</si>
  <si>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</si>
  <si>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</si>
  <si>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</si>
  <si>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</si>
  <si>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</si>
  <si>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</si>
  <si>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</si>
  <si>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</si>
  <si>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</si>
  <si>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</si>
  <si>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</si>
  <si>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</si>
  <si>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</si>
  <si>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</si>
  <si>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</si>
  <si>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</si>
  <si>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</si>
  <si>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</si>
  <si>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</si>
  <si>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</si>
  <si>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</si>
  <si>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</si>
  <si>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</si>
  <si>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</si>
  <si>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</si>
  <si>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</si>
  <si>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</si>
  <si>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</si>
  <si>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</si>
  <si>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</si>
  <si>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</si>
  <si>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</si>
  <si>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</si>
  <si>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</si>
  <si>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</si>
  <si>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</si>
  <si>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</si>
  <si>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</si>
  <si>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</si>
  <si>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</si>
  <si>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</si>
  <si>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</si>
  <si>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</si>
  <si>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</si>
  <si>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</si>
  <si>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</si>
  <si>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</si>
  <si>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</si>
  <si>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</si>
  <si>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</si>
  <si>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</si>
  <si>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</si>
  <si>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</si>
  <si>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</si>
  <si>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</si>
  <si>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</si>
  <si>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</si>
  <si>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</si>
  <si>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</si>
  <si>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</si>
  <si>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</si>
  <si>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</si>
  <si>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</si>
  <si>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</si>
  <si>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</si>
  <si>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</si>
  <si>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</si>
  <si>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</si>
  <si>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</si>
  <si>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</si>
  <si>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</si>
  <si>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</si>
  <si>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</si>
  <si>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</si>
  <si>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</si>
  <si>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</si>
  <si>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</si>
  <si>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</si>
  <si>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</si>
  <si>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</si>
  <si>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</si>
  <si>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</si>
  <si>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</si>
  <si>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</si>
  <si>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</si>
  <si>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</si>
  <si>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</si>
  <si>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</si>
  <si>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</si>
  <si>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</si>
  <si>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</si>
  <si>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</si>
  <si>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</si>
  <si>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</si>
  <si>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</si>
  <si>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</si>
  <si>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</si>
  <si>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</si>
  <si>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</si>
  <si>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</si>
  <si>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</si>
  <si>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</si>
  <si>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</si>
  <si>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</si>
  <si>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</si>
  <si>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</si>
  <si>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</si>
  <si>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</si>
  <si>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</si>
  <si>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</si>
  <si>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</si>
  <si>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</si>
  <si>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</si>
  <si>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</si>
  <si>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</si>
  <si>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</si>
  <si>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</si>
  <si>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</si>
  <si>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</si>
  <si>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</si>
  <si>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</si>
  <si>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</si>
  <si>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</si>
  <si>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</si>
  <si>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</si>
  <si>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</si>
  <si>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</si>
  <si>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</si>
  <si>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</si>
  <si>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</si>
  <si>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</si>
  <si>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</si>
  <si>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</si>
  <si>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</si>
  <si>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</si>
  <si>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</si>
  <si>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</si>
  <si>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</si>
  <si>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</si>
  <si>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</si>
  <si>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</si>
  <si>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</si>
  <si>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</si>
  <si>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</si>
  <si>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</si>
  <si>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</si>
  <si>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</si>
  <si>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</si>
  <si>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</si>
  <si>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</si>
  <si>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</si>
  <si>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</si>
  <si>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</si>
  <si>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</si>
  <si>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</si>
  <si>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</si>
  <si>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</si>
  <si>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</si>
  <si>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</si>
  <si>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</si>
  <si>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</si>
  <si>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</si>
  <si>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</si>
  <si>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</si>
  <si>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</si>
  <si>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</si>
  <si>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</si>
  <si>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</si>
  <si>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</si>
  <si>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</si>
  <si>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</si>
  <si>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</si>
  <si>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</si>
  <si>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</si>
  <si>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</si>
  <si>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</si>
  <si>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</si>
  <si>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</si>
  <si>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</si>
  <si>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</si>
  <si>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</si>
  <si>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</si>
  <si>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</si>
  <si>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</si>
  <si>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</si>
  <si>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</si>
  <si>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</si>
  <si>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</si>
  <si>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</si>
  <si>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</si>
  <si>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</si>
  <si>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</si>
  <si>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</si>
  <si>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</si>
  <si>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</si>
  <si>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</si>
  <si>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</si>
  <si>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</si>
  <si>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</si>
  <si>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</si>
  <si>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</si>
  <si>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</si>
  <si>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</si>
  <si>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</si>
  <si>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</si>
  <si>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</si>
  <si>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</si>
  <si>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</si>
  <si>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</si>
  <si>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</si>
  <si>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</si>
  <si>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</si>
  <si>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</si>
  <si>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</si>
  <si>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</si>
  <si>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</si>
  <si>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</si>
  <si>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</si>
  <si>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</si>
  <si>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</si>
  <si>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</si>
  <si>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</si>
  <si>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</si>
  <si>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</si>
  <si>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</si>
  <si>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</si>
  <si>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</si>
  <si>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</si>
  <si>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</si>
  <si>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</si>
  <si>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</si>
  <si>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</si>
  <si>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</si>
  <si>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</si>
  <si>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</si>
  <si>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</si>
  <si>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</si>
  <si>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</si>
  <si>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</si>
  <si>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</si>
  <si>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</si>
  <si>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</si>
  <si>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</si>
  <si>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</si>
  <si>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</si>
  <si>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</si>
  <si>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</si>
  <si>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</si>
  <si>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</si>
  <si>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</si>
  <si>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</si>
  <si>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</si>
  <si>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</si>
  <si>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</si>
  <si>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</si>
  <si>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</si>
  <si>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</si>
  <si>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</si>
  <si>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</si>
  <si>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</si>
  <si>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</si>
  <si>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</si>
  <si>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</si>
  <si>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</si>
  <si>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</si>
  <si>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</si>
  <si>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</si>
  <si>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</si>
  <si>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</si>
  <si>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</si>
  <si>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</si>
  <si>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</si>
  <si>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</si>
  <si>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</si>
  <si>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</si>
  <si>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</si>
  <si>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</si>
  <si>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</si>
  <si>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</si>
  <si>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</si>
  <si>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</si>
  <si>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</si>
  <si>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</si>
  <si>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</si>
  <si>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</si>
  <si>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</si>
  <si>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</si>
  <si>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</si>
  <si>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</si>
  <si>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</si>
  <si>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</si>
  <si>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</si>
  <si>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</si>
  <si>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</si>
  <si>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</si>
  <si>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</si>
  <si>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</si>
  <si>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</si>
  <si>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</si>
  <si>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</si>
  <si>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</si>
  <si>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</si>
  <si>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</si>
  <si>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</si>
  <si>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</si>
  <si>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</si>
  <si>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</si>
  <si>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</si>
  <si>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</si>
  <si>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</si>
  <si>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</si>
  <si>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</si>
  <si>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</si>
  <si>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</si>
  <si>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</si>
  <si>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</si>
  <si>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</si>
  <si>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</si>
  <si>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</si>
  <si>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</si>
  <si>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</si>
  <si>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</si>
  <si>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</si>
  <si>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</si>
  <si>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</si>
  <si>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</si>
  <si>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</si>
  <si>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</si>
  <si>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</si>
  <si>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</si>
  <si>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</si>
  <si>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</si>
  <si>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</si>
  <si>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</si>
  <si>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</si>
  <si>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</si>
  <si>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</si>
  <si>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</si>
  <si>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</si>
  <si>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</si>
  <si>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</si>
  <si>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</si>
  <si>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</si>
  <si>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</si>
  <si>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</si>
  <si>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</si>
  <si>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</si>
  <si>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</si>
  <si>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</si>
  <si>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</si>
  <si>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</si>
  <si>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</si>
  <si>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</si>
  <si>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</si>
  <si>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</si>
  <si>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</si>
  <si>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</si>
  <si>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</si>
  <si>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</si>
  <si>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</si>
  <si>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</si>
  <si>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</si>
  <si>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</si>
  <si>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</si>
  <si>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</si>
  <si>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</si>
  <si>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</si>
  <si>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</si>
  <si>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</si>
  <si>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</si>
  <si>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</si>
  <si>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</si>
  <si>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</si>
  <si>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</si>
  <si>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</si>
  <si>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</si>
  <si>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</si>
  <si>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</si>
  <si>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</si>
  <si>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</si>
  <si>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</si>
  <si>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</si>
  <si>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</si>
  <si>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</si>
  <si>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</si>
  <si>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</si>
  <si>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</si>
  <si>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</si>
  <si>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</si>
  <si>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</si>
  <si>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</si>
  <si>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</si>
  <si>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</si>
  <si>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</si>
  <si>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</si>
  <si>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</si>
  <si>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</si>
  <si>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</si>
  <si>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</si>
  <si>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</si>
  <si>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</si>
  <si>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</si>
  <si>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</si>
  <si>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</si>
  <si>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</si>
  <si>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737472386</t>
  </si>
  <si>
    <t>DUNS</t>
  </si>
  <si>
    <t>Unit 25b, Park View Road West, Park View Industrial Estate, Brenda Road, Hartlepool, TS25 1PE, Durham, UK.</t>
  </si>
  <si>
    <t>Nathan McDonough</t>
  </si>
  <si>
    <t>Compliance@Isocom.co.uk</t>
  </si>
  <si>
    <t>+44 (0)1429 863609</t>
  </si>
  <si>
    <t>Technical, QA, &amp; Compliance Manager</t>
  </si>
  <si>
    <t xml:space="preserve">Isocom Components2004 Ltd </t>
  </si>
  <si>
    <t>100%</t>
  </si>
  <si>
    <t>https://isocom.com/compliance/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</si>
</sst>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75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24" fillId="0" borderId="27" xfId="487" applyFont="1" applyFill="1" applyBorder="1" applyAlignment="1" applyProtection="1">
      <alignment horizontal="center"/>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75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0B9CA60-3726-41BD-83A7-5BE7F2EAFB2D}"/>
    <cellStyle name="Comma [0] 3" xfId="30" xr:uid="{00000000-0005-0000-0000-00001D000000}"/>
    <cellStyle name="Comma [0] 3 2" xfId="594" xr:uid="{70957870-C5C0-4C60-B804-43FA495CAE08}"/>
    <cellStyle name="Comma [0] 4" xfId="31" xr:uid="{00000000-0005-0000-0000-00001E000000}"/>
    <cellStyle name="Comma 10" xfId="32" xr:uid="{00000000-0005-0000-0000-00001F000000}"/>
    <cellStyle name="Comma 10 2" xfId="595" xr:uid="{051C452A-4A87-4A08-9A35-74FC107C157B}"/>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FFE456E7-AB95-4AAB-982B-FDF269A6C4F6}"/>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38672DBF-E51A-491D-A021-EDC6C3712E9A}"/>
    <cellStyle name="Comma 117" xfId="51" xr:uid="{00000000-0005-0000-0000-000032000000}"/>
    <cellStyle name="Comma 117 2" xfId="598" xr:uid="{1943CA3F-2130-4058-85B8-2FA391AE8786}"/>
    <cellStyle name="Comma 118" xfId="52" xr:uid="{00000000-0005-0000-0000-000033000000}"/>
    <cellStyle name="Comma 118 2" xfId="599" xr:uid="{40F7C8B2-D3C7-4CDB-9FA3-443D0F56B2B1}"/>
    <cellStyle name="Comma 119" xfId="53" xr:uid="{00000000-0005-0000-0000-000034000000}"/>
    <cellStyle name="Comma 119 2" xfId="600" xr:uid="{FE05B081-23DD-4865-805C-9E14BF4BD3CD}"/>
    <cellStyle name="Comma 12" xfId="54" xr:uid="{00000000-0005-0000-0000-000035000000}"/>
    <cellStyle name="Comma 12 2" xfId="601" xr:uid="{23005B93-59BC-4967-B1DC-93B38211EE4B}"/>
    <cellStyle name="Comma 120" xfId="55" xr:uid="{00000000-0005-0000-0000-000036000000}"/>
    <cellStyle name="Comma 120 2" xfId="602" xr:uid="{A9F78E94-D81F-4A5F-82E1-1C40384EF243}"/>
    <cellStyle name="Comma 121" xfId="56" xr:uid="{00000000-0005-0000-0000-000037000000}"/>
    <cellStyle name="Comma 121 2" xfId="603" xr:uid="{FA1EF7F9-1F68-4B5C-AB4A-5FF2984ED68A}"/>
    <cellStyle name="Comma 122" xfId="57" xr:uid="{00000000-0005-0000-0000-000038000000}"/>
    <cellStyle name="Comma 122 2" xfId="604" xr:uid="{5BD10526-DAE8-4CF7-816C-7AB3A09E4919}"/>
    <cellStyle name="Comma 123" xfId="58" xr:uid="{00000000-0005-0000-0000-000039000000}"/>
    <cellStyle name="Comma 123 2" xfId="605" xr:uid="{4C51C820-CE59-4DDF-9EEC-84E0FBC42D68}"/>
    <cellStyle name="Comma 124" xfId="59" xr:uid="{00000000-0005-0000-0000-00003A000000}"/>
    <cellStyle name="Comma 124 2" xfId="606" xr:uid="{284A7AFE-6404-4344-B7C9-79AB517572A4}"/>
    <cellStyle name="Comma 125" xfId="60" xr:uid="{00000000-0005-0000-0000-00003B000000}"/>
    <cellStyle name="Comma 125 2" xfId="607" xr:uid="{904C7A97-E4EE-4648-AAEA-9F0F4A24954A}"/>
    <cellStyle name="Comma 126" xfId="61" xr:uid="{00000000-0005-0000-0000-00003C000000}"/>
    <cellStyle name="Comma 126 2" xfId="608" xr:uid="{40ABD0E8-72C4-4532-AD44-3242B77828A6}"/>
    <cellStyle name="Comma 127" xfId="62" xr:uid="{00000000-0005-0000-0000-00003D000000}"/>
    <cellStyle name="Comma 127 2" xfId="609" xr:uid="{0AAFB9DF-B371-4298-8A45-33E187BBFC99}"/>
    <cellStyle name="Comma 128" xfId="63" xr:uid="{00000000-0005-0000-0000-00003E000000}"/>
    <cellStyle name="Comma 128 2" xfId="610" xr:uid="{AE869ABD-6CAC-4C59-AE70-C9AB0056C352}"/>
    <cellStyle name="Comma 129" xfId="64" xr:uid="{00000000-0005-0000-0000-00003F000000}"/>
    <cellStyle name="Comma 129 2" xfId="611" xr:uid="{553FDE08-5695-484B-AC77-FD04F3EA08D6}"/>
    <cellStyle name="Comma 13" xfId="65" xr:uid="{00000000-0005-0000-0000-000040000000}"/>
    <cellStyle name="Comma 13 2" xfId="612" xr:uid="{8B393511-1CA6-4275-957B-8E608B23F72F}"/>
    <cellStyle name="Comma 130" xfId="66" xr:uid="{00000000-0005-0000-0000-000041000000}"/>
    <cellStyle name="Comma 130 2" xfId="613" xr:uid="{02234691-9976-4F2F-BC98-1FDFD17E5E6D}"/>
    <cellStyle name="Comma 131" xfId="67" xr:uid="{00000000-0005-0000-0000-000042000000}"/>
    <cellStyle name="Comma 131 2" xfId="614" xr:uid="{4D536217-B664-4468-8D56-C813F71E2FBF}"/>
    <cellStyle name="Comma 132" xfId="68" xr:uid="{00000000-0005-0000-0000-000043000000}"/>
    <cellStyle name="Comma 132 2" xfId="615" xr:uid="{1F87D8A7-FDEA-4866-A993-EADEDB034834}"/>
    <cellStyle name="Comma 133" xfId="69" xr:uid="{00000000-0005-0000-0000-000044000000}"/>
    <cellStyle name="Comma 133 2" xfId="616" xr:uid="{64E7FF2F-858A-4694-BD6F-9FFD2CB6AA29}"/>
    <cellStyle name="Comma 134" xfId="70" xr:uid="{00000000-0005-0000-0000-000045000000}"/>
    <cellStyle name="Comma 134 2" xfId="617" xr:uid="{16100B44-7DD2-476D-8172-DB7499DF14B7}"/>
    <cellStyle name="Comma 135" xfId="71" xr:uid="{00000000-0005-0000-0000-000046000000}"/>
    <cellStyle name="Comma 135 2" xfId="618" xr:uid="{874044B6-C367-421A-B1F5-1382EEDEED96}"/>
    <cellStyle name="Comma 136" xfId="72" xr:uid="{00000000-0005-0000-0000-000047000000}"/>
    <cellStyle name="Comma 136 2" xfId="619" xr:uid="{5B6DD318-C4DD-4A20-AD34-ECB84D7D8AE0}"/>
    <cellStyle name="Comma 137" xfId="73" xr:uid="{00000000-0005-0000-0000-000048000000}"/>
    <cellStyle name="Comma 137 2" xfId="620" xr:uid="{DF13CF8D-090B-420A-8ACB-D4D4C1630598}"/>
    <cellStyle name="Comma 138" xfId="74" xr:uid="{00000000-0005-0000-0000-000049000000}"/>
    <cellStyle name="Comma 138 2" xfId="621" xr:uid="{3D066F0D-0CC7-4FB5-8CBF-1E7D03D25910}"/>
    <cellStyle name="Comma 139" xfId="75" xr:uid="{00000000-0005-0000-0000-00004A000000}"/>
    <cellStyle name="Comma 14" xfId="76" xr:uid="{00000000-0005-0000-0000-00004B000000}"/>
    <cellStyle name="Comma 14 2" xfId="622" xr:uid="{FF6938A8-3DFA-44CB-8B07-BD0531BF07F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30C62426-8686-450F-AEA8-F1D3362B9A94}"/>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CC9CC8F9-24B0-4340-AD95-2A3887CF5766}"/>
    <cellStyle name="Comma 160" xfId="99" xr:uid="{00000000-0005-0000-0000-000062000000}"/>
    <cellStyle name="Comma 160 2" xfId="625" xr:uid="{B6B091DE-FF3F-46DA-B4B5-6A583AA51A9B}"/>
    <cellStyle name="Comma 161" xfId="100" xr:uid="{00000000-0005-0000-0000-000063000000}"/>
    <cellStyle name="Comma 161 2" xfId="626" xr:uid="{10CADE5A-0EDD-4178-9F4B-99EAE6D13326}"/>
    <cellStyle name="Comma 162" xfId="101" xr:uid="{00000000-0005-0000-0000-000064000000}"/>
    <cellStyle name="Comma 162 2" xfId="627" xr:uid="{456B1914-90CB-45A2-A7B7-A91EE65703FF}"/>
    <cellStyle name="Comma 163" xfId="102" xr:uid="{00000000-0005-0000-0000-000065000000}"/>
    <cellStyle name="Comma 163 2" xfId="628" xr:uid="{670CE2A9-25B2-4900-B392-A368A774EB58}"/>
    <cellStyle name="Comma 164" xfId="103" xr:uid="{00000000-0005-0000-0000-000066000000}"/>
    <cellStyle name="Comma 164 2" xfId="629" xr:uid="{02DB9F88-0BCA-4FDE-9E38-36E665845A4C}"/>
    <cellStyle name="Comma 165" xfId="104" xr:uid="{00000000-0005-0000-0000-000067000000}"/>
    <cellStyle name="Comma 165 2" xfId="630" xr:uid="{F4189786-BAA3-4D86-9F57-6A91F49B1AC5}"/>
    <cellStyle name="Comma 166" xfId="105" xr:uid="{00000000-0005-0000-0000-000068000000}"/>
    <cellStyle name="Comma 166 2" xfId="631" xr:uid="{8ED19E19-6C49-43F1-9F94-84E3CCFF9B0F}"/>
    <cellStyle name="Comma 167" xfId="106" xr:uid="{00000000-0005-0000-0000-000069000000}"/>
    <cellStyle name="Comma 167 2" xfId="632" xr:uid="{3EE9695A-813A-4825-B0B1-A26D079BBC75}"/>
    <cellStyle name="Comma 168" xfId="107" xr:uid="{00000000-0005-0000-0000-00006A000000}"/>
    <cellStyle name="Comma 168 2" xfId="633" xr:uid="{88871068-DC68-406B-8453-F628D6AD88F9}"/>
    <cellStyle name="Comma 169" xfId="108" xr:uid="{00000000-0005-0000-0000-00006B000000}"/>
    <cellStyle name="Comma 169 2" xfId="634" xr:uid="{8C2009E0-6CAD-490D-A0DF-402D06BDC2CF}"/>
    <cellStyle name="Comma 17" xfId="109" xr:uid="{00000000-0005-0000-0000-00006C000000}"/>
    <cellStyle name="Comma 17 2" xfId="635" xr:uid="{F8838039-39E4-46C9-8E3A-165C7BDA33A7}"/>
    <cellStyle name="Comma 170" xfId="110" xr:uid="{00000000-0005-0000-0000-00006D000000}"/>
    <cellStyle name="Comma 170 2" xfId="636" xr:uid="{3D98CF68-8AE6-4174-A479-4F444349DB82}"/>
    <cellStyle name="Comma 171" xfId="111" xr:uid="{00000000-0005-0000-0000-00006E000000}"/>
    <cellStyle name="Comma 171 2" xfId="637" xr:uid="{F4B4D12D-2220-41CA-9ACD-A6C86F026D16}"/>
    <cellStyle name="Comma 172" xfId="112" xr:uid="{00000000-0005-0000-0000-00006F000000}"/>
    <cellStyle name="Comma 172 2" xfId="638" xr:uid="{3A151DF7-EA46-4979-9207-1BD05B6AC95F}"/>
    <cellStyle name="Comma 173" xfId="113" xr:uid="{00000000-0005-0000-0000-000070000000}"/>
    <cellStyle name="Comma 173 2" xfId="639" xr:uid="{E620899D-6D27-4A25-BF90-3B84A75A3FB2}"/>
    <cellStyle name="Comma 174" xfId="114" xr:uid="{00000000-0005-0000-0000-000071000000}"/>
    <cellStyle name="Comma 174 2" xfId="640" xr:uid="{5556242E-61F7-41CD-8BC0-76213F78B4A1}"/>
    <cellStyle name="Comma 175" xfId="115" xr:uid="{00000000-0005-0000-0000-000072000000}"/>
    <cellStyle name="Comma 175 2" xfId="641" xr:uid="{A8C1BB0B-25A9-4F45-B62B-CEF471DE90B0}"/>
    <cellStyle name="Comma 176" xfId="116" xr:uid="{00000000-0005-0000-0000-000073000000}"/>
    <cellStyle name="Comma 176 2" xfId="642" xr:uid="{9FF5DF38-9A0C-4F7B-9BD5-E9E328D6C83F}"/>
    <cellStyle name="Comma 177" xfId="117" xr:uid="{00000000-0005-0000-0000-000074000000}"/>
    <cellStyle name="Comma 177 2" xfId="643" xr:uid="{9B3FFB48-B4B0-4EDC-B6F8-5793B0B1B0F1}"/>
    <cellStyle name="Comma 178" xfId="118" xr:uid="{00000000-0005-0000-0000-000075000000}"/>
    <cellStyle name="Comma 178 2" xfId="644" xr:uid="{198DEF74-B316-4CB6-8081-22F4E42C6FE6}"/>
    <cellStyle name="Comma 179" xfId="119" xr:uid="{00000000-0005-0000-0000-000076000000}"/>
    <cellStyle name="Comma 179 2" xfId="645" xr:uid="{23A1825C-060A-43FE-83A5-554BE24D8647}"/>
    <cellStyle name="Comma 18" xfId="120" xr:uid="{00000000-0005-0000-0000-000077000000}"/>
    <cellStyle name="Comma 18 2" xfId="646" xr:uid="{7EA5714D-1495-47ED-8C4A-9784A04DBC3B}"/>
    <cellStyle name="Comma 180" xfId="121" xr:uid="{00000000-0005-0000-0000-000078000000}"/>
    <cellStyle name="Comma 180 2" xfId="647" xr:uid="{8651DF16-74A6-4976-AECB-3C9D7C15A460}"/>
    <cellStyle name="Comma 181" xfId="122" xr:uid="{00000000-0005-0000-0000-000079000000}"/>
    <cellStyle name="Comma 181 2" xfId="648" xr:uid="{6EF0866A-CFC0-4606-83D3-C78DB78497BA}"/>
    <cellStyle name="Comma 182" xfId="123" xr:uid="{00000000-0005-0000-0000-00007A000000}"/>
    <cellStyle name="Comma 182 2" xfId="649" xr:uid="{3C2CC131-6F75-45C7-870A-52012060CD7D}"/>
    <cellStyle name="Comma 183" xfId="124" xr:uid="{00000000-0005-0000-0000-00007B000000}"/>
    <cellStyle name="Comma 183 2" xfId="650" xr:uid="{0940CE0A-5749-476F-91C5-AF1DBD87A715}"/>
    <cellStyle name="Comma 184" xfId="125" xr:uid="{00000000-0005-0000-0000-00007C000000}"/>
    <cellStyle name="Comma 184 2" xfId="651" xr:uid="{2B3145E7-05C8-4E69-9C01-D05A8249090F}"/>
    <cellStyle name="Comma 185" xfId="126" xr:uid="{00000000-0005-0000-0000-00007D000000}"/>
    <cellStyle name="Comma 185 2" xfId="652" xr:uid="{20E5E630-DAD9-4D22-9B6E-0F8C3139B94F}"/>
    <cellStyle name="Comma 186" xfId="127" xr:uid="{00000000-0005-0000-0000-00007E000000}"/>
    <cellStyle name="Comma 186 2" xfId="653" xr:uid="{C4AB91E6-8BB3-4EBA-9F6F-3F141CC7D616}"/>
    <cellStyle name="Comma 187" xfId="128" xr:uid="{00000000-0005-0000-0000-00007F000000}"/>
    <cellStyle name="Comma 187 2" xfId="654" xr:uid="{D8248262-E956-4F60-BCEB-DCBB289FCE1E}"/>
    <cellStyle name="Comma 188" xfId="129" xr:uid="{00000000-0005-0000-0000-000080000000}"/>
    <cellStyle name="Comma 188 2" xfId="655" xr:uid="{BAC17C4F-50E1-498E-A6C5-34F5D7FE25BF}"/>
    <cellStyle name="Comma 189" xfId="130" xr:uid="{00000000-0005-0000-0000-000081000000}"/>
    <cellStyle name="Comma 189 2" xfId="656" xr:uid="{6BCE506F-9F21-4E07-88A7-A4A68E042412}"/>
    <cellStyle name="Comma 19" xfId="131" xr:uid="{00000000-0005-0000-0000-000082000000}"/>
    <cellStyle name="Comma 19 2" xfId="657" xr:uid="{1E42E430-49AC-4A73-8069-2B8C32AF474D}"/>
    <cellStyle name="Comma 190" xfId="132" xr:uid="{00000000-0005-0000-0000-000083000000}"/>
    <cellStyle name="Comma 190 2" xfId="658" xr:uid="{FB1CA35D-CC44-41C7-8734-5B9AC27B7D82}"/>
    <cellStyle name="Comma 191" xfId="133" xr:uid="{00000000-0005-0000-0000-000084000000}"/>
    <cellStyle name="Comma 191 2" xfId="659" xr:uid="{26B0A80E-30FF-4EFF-AAEC-1713853268B7}"/>
    <cellStyle name="Comma 192" xfId="134" xr:uid="{00000000-0005-0000-0000-000085000000}"/>
    <cellStyle name="Comma 192 2" xfId="660" xr:uid="{3F075DFA-F2AE-40CE-885C-64418140BE91}"/>
    <cellStyle name="Comma 193" xfId="135" xr:uid="{00000000-0005-0000-0000-000086000000}"/>
    <cellStyle name="Comma 193 2" xfId="661" xr:uid="{1EF89063-12F8-452B-A0C1-DD06E17EF9AA}"/>
    <cellStyle name="Comma 194" xfId="136" xr:uid="{00000000-0005-0000-0000-000087000000}"/>
    <cellStyle name="Comma 194 2" xfId="662" xr:uid="{F664BC4F-4966-4D17-98E7-4B88661535B8}"/>
    <cellStyle name="Comma 195" xfId="137" xr:uid="{00000000-0005-0000-0000-000088000000}"/>
    <cellStyle name="Comma 195 2" xfId="663" xr:uid="{3813741D-AE99-443F-A85D-959C1359BF56}"/>
    <cellStyle name="Comma 196" xfId="138" xr:uid="{00000000-0005-0000-0000-000089000000}"/>
    <cellStyle name="Comma 196 2" xfId="664" xr:uid="{1DD22F61-3B97-40D5-9536-5FCE86673C04}"/>
    <cellStyle name="Comma 197" xfId="139" xr:uid="{00000000-0005-0000-0000-00008A000000}"/>
    <cellStyle name="Comma 197 2" xfId="665" xr:uid="{07EFFBC7-3B60-4218-9679-97832F7B42A3}"/>
    <cellStyle name="Comma 198" xfId="140" xr:uid="{00000000-0005-0000-0000-00008B000000}"/>
    <cellStyle name="Comma 198 2" xfId="666" xr:uid="{506FB7D5-7EBC-491F-BA94-4F1D62E6A511}"/>
    <cellStyle name="Comma 199" xfId="141" xr:uid="{00000000-0005-0000-0000-00008C000000}"/>
    <cellStyle name="Comma 199 2" xfId="667" xr:uid="{91A5424A-D6DF-47DF-8D7F-765AD2FE7153}"/>
    <cellStyle name="Comma 2" xfId="142" xr:uid="{00000000-0005-0000-0000-00008D000000}"/>
    <cellStyle name="Comma 2 2" xfId="668" xr:uid="{932AD6E3-8CF9-4C63-8FFB-2CA38F346667}"/>
    <cellStyle name="Comma 20" xfId="143" xr:uid="{00000000-0005-0000-0000-00008E000000}"/>
    <cellStyle name="Comma 20 2" xfId="669" xr:uid="{FFC9AAE1-8443-44A3-BC36-BAA9FB4B43A0}"/>
    <cellStyle name="Comma 200" xfId="144" xr:uid="{00000000-0005-0000-0000-00008F000000}"/>
    <cellStyle name="Comma 200 2" xfId="670" xr:uid="{BDD54C96-3A5D-479B-9CAB-8F1B897260FC}"/>
    <cellStyle name="Comma 201" xfId="145" xr:uid="{00000000-0005-0000-0000-000090000000}"/>
    <cellStyle name="Comma 201 2" xfId="671" xr:uid="{52F8C540-558A-4A09-9930-544C003613D9}"/>
    <cellStyle name="Comma 202" xfId="146" xr:uid="{00000000-0005-0000-0000-000091000000}"/>
    <cellStyle name="Comma 202 2" xfId="672" xr:uid="{E9E756E2-52FD-4E80-932F-29913699C601}"/>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09D4C1D1-2B1F-4FCD-B350-5AE6441DE6B7}"/>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D1D56484-CF63-4534-AE2D-B2C3D392019F}"/>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E109CC34-2FCD-4639-BB75-7F485D75AA2B}"/>
    <cellStyle name="Comma 24" xfId="171" xr:uid="{00000000-0005-0000-0000-0000AA000000}"/>
    <cellStyle name="Comma 24 2" xfId="676" xr:uid="{6D76D7C3-81C3-499A-AC8F-37C1D6439D9E}"/>
    <cellStyle name="Comma 25" xfId="172" xr:uid="{00000000-0005-0000-0000-0000AB000000}"/>
    <cellStyle name="Comma 25 2" xfId="677" xr:uid="{BA193907-F3D2-43BC-9132-1B38D76F6F77}"/>
    <cellStyle name="Comma 26" xfId="173" xr:uid="{00000000-0005-0000-0000-0000AC000000}"/>
    <cellStyle name="Comma 26 2" xfId="678" xr:uid="{07B44A70-18E4-410C-85DB-278C09CB50F8}"/>
    <cellStyle name="Comma 27" xfId="174" xr:uid="{00000000-0005-0000-0000-0000AD000000}"/>
    <cellStyle name="Comma 27 2" xfId="679" xr:uid="{8EC3E1C9-2569-416B-B734-6DBEB1D644BE}"/>
    <cellStyle name="Comma 28" xfId="175" xr:uid="{00000000-0005-0000-0000-0000AE000000}"/>
    <cellStyle name="Comma 28 2" xfId="680" xr:uid="{3FBD32B6-407D-4E91-86FD-23B6BED4CFEC}"/>
    <cellStyle name="Comma 29" xfId="176" xr:uid="{00000000-0005-0000-0000-0000AF000000}"/>
    <cellStyle name="Comma 29 2" xfId="681" xr:uid="{2B3F6493-F65E-412C-85F7-83683EE1FF68}"/>
    <cellStyle name="Comma 3" xfId="177" xr:uid="{00000000-0005-0000-0000-0000B0000000}"/>
    <cellStyle name="Comma 3 2" xfId="682" xr:uid="{25021091-5B67-4C57-9CF7-A87898494254}"/>
    <cellStyle name="Comma 30" xfId="178" xr:uid="{00000000-0005-0000-0000-0000B1000000}"/>
    <cellStyle name="Comma 30 2" xfId="683" xr:uid="{60677AA4-DAB0-4356-A84D-5EAA6D131867}"/>
    <cellStyle name="Comma 31" xfId="179" xr:uid="{00000000-0005-0000-0000-0000B2000000}"/>
    <cellStyle name="Comma 31 2" xfId="684" xr:uid="{371ACB39-12C6-4C8A-BCF7-58E7A0AA255B}"/>
    <cellStyle name="Comma 32" xfId="180" xr:uid="{00000000-0005-0000-0000-0000B3000000}"/>
    <cellStyle name="Comma 32 2" xfId="685" xr:uid="{9565F798-D940-4A88-8773-CCA92FA40655}"/>
    <cellStyle name="Comma 33" xfId="181" xr:uid="{00000000-0005-0000-0000-0000B4000000}"/>
    <cellStyle name="Comma 33 2" xfId="686" xr:uid="{779E3E0D-FCD8-4FED-BABE-EFF545FD7886}"/>
    <cellStyle name="Comma 34" xfId="182" xr:uid="{00000000-0005-0000-0000-0000B5000000}"/>
    <cellStyle name="Comma 34 2" xfId="687" xr:uid="{C3A4524F-5C64-4217-B6EE-67D8E9C7A4D5}"/>
    <cellStyle name="Comma 35" xfId="183" xr:uid="{00000000-0005-0000-0000-0000B6000000}"/>
    <cellStyle name="Comma 35 2" xfId="688" xr:uid="{B30DBF04-ECFA-4F3C-A1F7-0A3D998DBAC7}"/>
    <cellStyle name="Comma 36" xfId="184" xr:uid="{00000000-0005-0000-0000-0000B7000000}"/>
    <cellStyle name="Comma 36 2" xfId="689" xr:uid="{73205BC3-C98D-4226-8CA7-776BD4B621B8}"/>
    <cellStyle name="Comma 37" xfId="185" xr:uid="{00000000-0005-0000-0000-0000B8000000}"/>
    <cellStyle name="Comma 37 2" xfId="690" xr:uid="{63BD6CBA-311B-4F73-A460-6494701C24A8}"/>
    <cellStyle name="Comma 38" xfId="186" xr:uid="{00000000-0005-0000-0000-0000B9000000}"/>
    <cellStyle name="Comma 38 2" xfId="691" xr:uid="{D8089E81-7E2E-4FEC-9C0A-DA4D3B27E950}"/>
    <cellStyle name="Comma 39" xfId="187" xr:uid="{00000000-0005-0000-0000-0000BA000000}"/>
    <cellStyle name="Comma 39 2" xfId="692" xr:uid="{A6512D7F-7D25-4C4E-A1D4-08D47BBE4948}"/>
    <cellStyle name="Comma 4" xfId="188" xr:uid="{00000000-0005-0000-0000-0000BB000000}"/>
    <cellStyle name="Comma 4 2" xfId="693" xr:uid="{E78A933E-6732-4290-B2A0-1A69D0D0B167}"/>
    <cellStyle name="Comma 40" xfId="189" xr:uid="{00000000-0005-0000-0000-0000BC000000}"/>
    <cellStyle name="Comma 40 2" xfId="694" xr:uid="{71736D22-DAA0-4DDD-AB90-72E55B8F67F1}"/>
    <cellStyle name="Comma 41" xfId="190" xr:uid="{00000000-0005-0000-0000-0000BD000000}"/>
    <cellStyle name="Comma 41 2" xfId="695" xr:uid="{CE241A2A-C78C-4865-BD61-87B04B74EAAF}"/>
    <cellStyle name="Comma 42" xfId="191" xr:uid="{00000000-0005-0000-0000-0000BE000000}"/>
    <cellStyle name="Comma 42 2" xfId="696" xr:uid="{1650E840-1BB2-46F1-91C2-23D8F889415E}"/>
    <cellStyle name="Comma 43" xfId="192" xr:uid="{00000000-0005-0000-0000-0000BF000000}"/>
    <cellStyle name="Comma 43 2" xfId="697" xr:uid="{021E08D8-8866-4197-A66E-8958A522CCE6}"/>
    <cellStyle name="Comma 44" xfId="193" xr:uid="{00000000-0005-0000-0000-0000C0000000}"/>
    <cellStyle name="Comma 44 2" xfId="698" xr:uid="{C9F2C1F8-EA64-414E-9D99-0B23DF1529BA}"/>
    <cellStyle name="Comma 45" xfId="194" xr:uid="{00000000-0005-0000-0000-0000C1000000}"/>
    <cellStyle name="Comma 45 2" xfId="699" xr:uid="{72EAD357-8C36-46CA-A127-6525D46914CB}"/>
    <cellStyle name="Comma 46" xfId="195" xr:uid="{00000000-0005-0000-0000-0000C2000000}"/>
    <cellStyle name="Comma 46 2" xfId="700" xr:uid="{032FBFF4-1960-4F07-BCD6-B4DBED40F9C6}"/>
    <cellStyle name="Comma 47" xfId="196" xr:uid="{00000000-0005-0000-0000-0000C3000000}"/>
    <cellStyle name="Comma 47 2" xfId="701" xr:uid="{DCCCB96E-F4CD-4E4A-B989-804CE5732834}"/>
    <cellStyle name="Comma 48" xfId="197" xr:uid="{00000000-0005-0000-0000-0000C4000000}"/>
    <cellStyle name="Comma 48 2" xfId="702" xr:uid="{FF0C2F80-5E4D-4B6C-BD5A-68AE7C95D68B}"/>
    <cellStyle name="Comma 49" xfId="198" xr:uid="{00000000-0005-0000-0000-0000C5000000}"/>
    <cellStyle name="Comma 49 2" xfId="703" xr:uid="{7065E87D-BFDE-40F4-AE0E-730C43470856}"/>
    <cellStyle name="Comma 5" xfId="199" xr:uid="{00000000-0005-0000-0000-0000C6000000}"/>
    <cellStyle name="Comma 5 2" xfId="704" xr:uid="{915D413B-CBF3-42D9-B596-7262C4BF6F17}"/>
    <cellStyle name="Comma 50" xfId="200" xr:uid="{00000000-0005-0000-0000-0000C7000000}"/>
    <cellStyle name="Comma 50 2" xfId="705" xr:uid="{91E9D771-3579-40BA-8F28-A9CECCA33370}"/>
    <cellStyle name="Comma 51" xfId="201" xr:uid="{00000000-0005-0000-0000-0000C8000000}"/>
    <cellStyle name="Comma 51 2" xfId="706" xr:uid="{32DB7E07-BBDD-4A02-B5DF-7EE8835B8D78}"/>
    <cellStyle name="Comma 52" xfId="202" xr:uid="{00000000-0005-0000-0000-0000C9000000}"/>
    <cellStyle name="Comma 52 2" xfId="707" xr:uid="{4C4DB6E1-7D45-48BE-89E8-2F59B131A91C}"/>
    <cellStyle name="Comma 53" xfId="203" xr:uid="{00000000-0005-0000-0000-0000CA000000}"/>
    <cellStyle name="Comma 53 2" xfId="708" xr:uid="{A8679AAE-8C73-423E-91B2-FA7FA848D226}"/>
    <cellStyle name="Comma 54" xfId="204" xr:uid="{00000000-0005-0000-0000-0000CB000000}"/>
    <cellStyle name="Comma 54 2" xfId="709" xr:uid="{EDE70434-A337-4239-A58F-59EC071DA54A}"/>
    <cellStyle name="Comma 55" xfId="205" xr:uid="{00000000-0005-0000-0000-0000CC000000}"/>
    <cellStyle name="Comma 55 2" xfId="710" xr:uid="{D0945CA6-1775-43BA-8C7E-57BCF541F95A}"/>
    <cellStyle name="Comma 56" xfId="206" xr:uid="{00000000-0005-0000-0000-0000CD000000}"/>
    <cellStyle name="Comma 56 2" xfId="711" xr:uid="{01521934-D283-4978-A7B8-5A2854036A53}"/>
    <cellStyle name="Comma 57" xfId="207" xr:uid="{00000000-0005-0000-0000-0000CE000000}"/>
    <cellStyle name="Comma 57 2" xfId="712" xr:uid="{0A134BA2-5798-4404-810E-4BA3E323A0B3}"/>
    <cellStyle name="Comma 58" xfId="208" xr:uid="{00000000-0005-0000-0000-0000CF000000}"/>
    <cellStyle name="Comma 58 2" xfId="713" xr:uid="{8A43787D-7E43-496A-BD82-25166016995F}"/>
    <cellStyle name="Comma 59" xfId="209" xr:uid="{00000000-0005-0000-0000-0000D0000000}"/>
    <cellStyle name="Comma 59 2" xfId="714" xr:uid="{5BE001CB-7C07-4C6F-A07A-2EE44C25CB90}"/>
    <cellStyle name="Comma 6" xfId="210" xr:uid="{00000000-0005-0000-0000-0000D1000000}"/>
    <cellStyle name="Comma 6 2" xfId="715" xr:uid="{B01F8FD7-D457-4D01-9B59-3F4425E58F8B}"/>
    <cellStyle name="Comma 60" xfId="211" xr:uid="{00000000-0005-0000-0000-0000D2000000}"/>
    <cellStyle name="Comma 60 2" xfId="716" xr:uid="{7DD3E554-208B-4488-B3D6-4A877AE4A7E5}"/>
    <cellStyle name="Comma 61" xfId="212" xr:uid="{00000000-0005-0000-0000-0000D3000000}"/>
    <cellStyle name="Comma 61 2" xfId="717" xr:uid="{4615D53B-842B-423B-9CBC-214019B96675}"/>
    <cellStyle name="Comma 62" xfId="213" xr:uid="{00000000-0005-0000-0000-0000D4000000}"/>
    <cellStyle name="Comma 62 2" xfId="718" xr:uid="{ECCA062C-EC9B-4EBF-A029-B02494527723}"/>
    <cellStyle name="Comma 63" xfId="214" xr:uid="{00000000-0005-0000-0000-0000D5000000}"/>
    <cellStyle name="Comma 63 2" xfId="719" xr:uid="{6884E887-1EFD-46A9-AC09-60C5648CCEA5}"/>
    <cellStyle name="Comma 64" xfId="215" xr:uid="{00000000-0005-0000-0000-0000D6000000}"/>
    <cellStyle name="Comma 64 2" xfId="720" xr:uid="{3347EB7C-4039-436B-870D-E5FF6D15C3F8}"/>
    <cellStyle name="Comma 65" xfId="216" xr:uid="{00000000-0005-0000-0000-0000D7000000}"/>
    <cellStyle name="Comma 65 2" xfId="721" xr:uid="{A7664199-9523-4899-96E1-57F6378766E8}"/>
    <cellStyle name="Comma 66" xfId="217" xr:uid="{00000000-0005-0000-0000-0000D8000000}"/>
    <cellStyle name="Comma 66 2" xfId="722" xr:uid="{C137DF08-B71F-4175-9E39-62460F6B58FF}"/>
    <cellStyle name="Comma 67" xfId="218" xr:uid="{00000000-0005-0000-0000-0000D9000000}"/>
    <cellStyle name="Comma 67 2" xfId="723" xr:uid="{23201981-1277-466D-BF0D-DC3DF0856C45}"/>
    <cellStyle name="Comma 68" xfId="219" xr:uid="{00000000-0005-0000-0000-0000DA000000}"/>
    <cellStyle name="Comma 68 2" xfId="724" xr:uid="{ACD3AEA7-5479-48EC-9B70-E32DFAA5E5B8}"/>
    <cellStyle name="Comma 69" xfId="220" xr:uid="{00000000-0005-0000-0000-0000DB000000}"/>
    <cellStyle name="Comma 69 2" xfId="725" xr:uid="{28AF737F-BA98-4EE4-A89B-212F55D25F26}"/>
    <cellStyle name="Comma 7" xfId="221" xr:uid="{00000000-0005-0000-0000-0000DC000000}"/>
    <cellStyle name="Comma 7 2" xfId="726" xr:uid="{21CEB83D-19B1-4EBC-AD3F-FF94D9CFA9BD}"/>
    <cellStyle name="Comma 70" xfId="222" xr:uid="{00000000-0005-0000-0000-0000DD000000}"/>
    <cellStyle name="Comma 70 2" xfId="727" xr:uid="{5A5A2D0E-E277-45EE-A23D-BD9B22977539}"/>
    <cellStyle name="Comma 71" xfId="223" xr:uid="{00000000-0005-0000-0000-0000DE000000}"/>
    <cellStyle name="Comma 71 2" xfId="728" xr:uid="{FE1449EE-B231-4178-AEE7-0E83A0558F36}"/>
    <cellStyle name="Comma 72" xfId="224" xr:uid="{00000000-0005-0000-0000-0000DF000000}"/>
    <cellStyle name="Comma 72 2" xfId="729" xr:uid="{0A97B6BC-2893-4F29-A61A-B62009F9AE52}"/>
    <cellStyle name="Comma 73" xfId="225" xr:uid="{00000000-0005-0000-0000-0000E0000000}"/>
    <cellStyle name="Comma 73 2" xfId="730" xr:uid="{D3760FE2-94C5-4647-AD0E-6A5494AF3E5E}"/>
    <cellStyle name="Comma 74" xfId="226" xr:uid="{00000000-0005-0000-0000-0000E1000000}"/>
    <cellStyle name="Comma 74 2" xfId="731" xr:uid="{30B01AEE-93DA-4E71-84FC-A44E04028F5A}"/>
    <cellStyle name="Comma 75" xfId="227" xr:uid="{00000000-0005-0000-0000-0000E2000000}"/>
    <cellStyle name="Comma 75 2" xfId="732" xr:uid="{23669AF8-0F3C-4934-AE8E-947EB704C85C}"/>
    <cellStyle name="Comma 76" xfId="228" xr:uid="{00000000-0005-0000-0000-0000E3000000}"/>
    <cellStyle name="Comma 76 2" xfId="733" xr:uid="{C36745CA-DE4E-4D80-A66B-A8C8C8938278}"/>
    <cellStyle name="Comma 77" xfId="229" xr:uid="{00000000-0005-0000-0000-0000E4000000}"/>
    <cellStyle name="Comma 77 2" xfId="734" xr:uid="{0AB7CBED-EF57-42EF-9960-EB29167F89AF}"/>
    <cellStyle name="Comma 78" xfId="230" xr:uid="{00000000-0005-0000-0000-0000E5000000}"/>
    <cellStyle name="Comma 78 2" xfId="735" xr:uid="{62DC6F5D-2521-43B1-B1C5-319C3A051BFE}"/>
    <cellStyle name="Comma 79" xfId="231" xr:uid="{00000000-0005-0000-0000-0000E6000000}"/>
    <cellStyle name="Comma 79 2" xfId="736" xr:uid="{1A5DC3B5-12FB-46C0-A3CD-896271014F4F}"/>
    <cellStyle name="Comma 8" xfId="232" xr:uid="{00000000-0005-0000-0000-0000E7000000}"/>
    <cellStyle name="Comma 8 2" xfId="737" xr:uid="{3537458B-7C9C-4939-AB32-A0F4B7757280}"/>
    <cellStyle name="Comma 80" xfId="233" xr:uid="{00000000-0005-0000-0000-0000E8000000}"/>
    <cellStyle name="Comma 80 2" xfId="738" xr:uid="{6290921F-301D-485F-B0C6-52B74BB9F159}"/>
    <cellStyle name="Comma 81" xfId="234" xr:uid="{00000000-0005-0000-0000-0000E9000000}"/>
    <cellStyle name="Comma 81 2" xfId="739" xr:uid="{992295C8-5068-4EF9-9E42-D59DEA4E7F11}"/>
    <cellStyle name="Comma 82" xfId="235" xr:uid="{00000000-0005-0000-0000-0000EA000000}"/>
    <cellStyle name="Comma 82 2" xfId="740" xr:uid="{C5CEECF4-66D7-4C82-A11F-34F5D53BC179}"/>
    <cellStyle name="Comma 83" xfId="236" xr:uid="{00000000-0005-0000-0000-0000EB000000}"/>
    <cellStyle name="Comma 83 2" xfId="741" xr:uid="{572FE674-709D-425F-B8C4-0DF2989A954E}"/>
    <cellStyle name="Comma 84" xfId="237" xr:uid="{00000000-0005-0000-0000-0000EC000000}"/>
    <cellStyle name="Comma 84 2" xfId="742" xr:uid="{9B63B28A-C52D-4146-9D76-ECFB7390B30C}"/>
    <cellStyle name="Comma 85" xfId="238" xr:uid="{00000000-0005-0000-0000-0000ED000000}"/>
    <cellStyle name="Comma 85 2" xfId="743" xr:uid="{F7D35BC5-6799-49B7-9C58-57D6003C37BF}"/>
    <cellStyle name="Comma 86" xfId="239" xr:uid="{00000000-0005-0000-0000-0000EE000000}"/>
    <cellStyle name="Comma 86 2" xfId="744" xr:uid="{8DA5A36D-C31D-4F89-9CB2-C2604545B152}"/>
    <cellStyle name="Comma 87" xfId="240" xr:uid="{00000000-0005-0000-0000-0000EF000000}"/>
    <cellStyle name="Comma 87 2" xfId="745" xr:uid="{E5C6D68E-BA02-4499-B0A8-4642DC4E085A}"/>
    <cellStyle name="Comma 88" xfId="241" xr:uid="{00000000-0005-0000-0000-0000F0000000}"/>
    <cellStyle name="Comma 88 2" xfId="746" xr:uid="{3B89567A-5978-4F96-A827-FE04B1B317D1}"/>
    <cellStyle name="Comma 89" xfId="242" xr:uid="{00000000-0005-0000-0000-0000F1000000}"/>
    <cellStyle name="Comma 89 2" xfId="747" xr:uid="{E0C4F9F2-9348-4911-A8F2-9BC1FC3B19C2}"/>
    <cellStyle name="Comma 9" xfId="243" xr:uid="{00000000-0005-0000-0000-0000F2000000}"/>
    <cellStyle name="Comma 9 2" xfId="748" xr:uid="{A23DF642-7727-4A7C-B048-B92B0A032926}"/>
    <cellStyle name="Comma 90" xfId="244" xr:uid="{00000000-0005-0000-0000-0000F3000000}"/>
    <cellStyle name="Comma 90 2" xfId="749" xr:uid="{77A6A8A3-88AB-4121-B051-59CF33E8C4C8}"/>
    <cellStyle name="Comma 91" xfId="245" xr:uid="{00000000-0005-0000-0000-0000F4000000}"/>
    <cellStyle name="Comma 91 2" xfId="750" xr:uid="{991F472D-8292-4B26-BABC-9ADE51D64FA5}"/>
    <cellStyle name="Comma 92" xfId="246" xr:uid="{00000000-0005-0000-0000-0000F5000000}"/>
    <cellStyle name="Comma 92 2" xfId="751" xr:uid="{A67BF754-74BE-490F-89AD-F23CB784B828}"/>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752" xr:uid="{DB7C0C1C-2351-403D-BDDC-2C8A292FB78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Isocom.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isocom.com/compliance/" TargetMode="External"/><Relationship Id="rId4" Type="http://schemas.openxmlformats.org/officeDocument/2006/relationships/hyperlink" Target="mailto:Compliance@Isocom.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257940-EB15-4FD1-9725-1C44090F9C6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003E1AF-CE56-44AA-8018-CE0BEAA7BB7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7"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2"/>
      <c r="G3" s="362"/>
      <c r="H3" s="362"/>
      <c r="I3" s="152"/>
      <c r="J3" s="138" t="s">
        <v>15733</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5" t="s">
        <v>15824</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6" t="s">
        <v>15817</v>
      </c>
      <c r="E12" s="327"/>
      <c r="F12" s="327"/>
      <c r="G12" s="327"/>
      <c r="H12" s="327"/>
      <c r="I12" s="327"/>
      <c r="J12" s="32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6" t="s">
        <v>15818</v>
      </c>
      <c r="E13" s="327"/>
      <c r="F13" s="327"/>
      <c r="G13" s="327"/>
      <c r="H13" s="327"/>
      <c r="I13" s="327"/>
      <c r="J13" s="32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6" t="s">
        <v>15819</v>
      </c>
      <c r="E14" s="327"/>
      <c r="F14" s="327"/>
      <c r="G14" s="327"/>
      <c r="H14" s="327"/>
      <c r="I14" s="327"/>
      <c r="J14" s="32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6" t="s">
        <v>15820</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29" t="s">
        <v>15821</v>
      </c>
      <c r="E16" s="330"/>
      <c r="F16" s="330"/>
      <c r="G16" s="330"/>
      <c r="H16" s="330"/>
      <c r="I16" s="330"/>
      <c r="J16" s="33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6" t="s">
        <v>15822</v>
      </c>
      <c r="E17" s="327"/>
      <c r="F17" s="327"/>
      <c r="G17" s="327"/>
      <c r="H17" s="327"/>
      <c r="I17" s="327"/>
      <c r="J17" s="32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6" t="s">
        <v>15823</v>
      </c>
      <c r="E19" s="327"/>
      <c r="F19" s="327"/>
      <c r="G19" s="327"/>
      <c r="H19" s="327"/>
      <c r="I19" s="327"/>
      <c r="J19" s="32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29" t="s">
        <v>15821</v>
      </c>
      <c r="E20" s="330"/>
      <c r="F20" s="330"/>
      <c r="G20" s="330"/>
      <c r="H20" s="330"/>
      <c r="I20" s="330"/>
      <c r="J20" s="33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2" t="s">
        <v>15822</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7">
        <v>45860</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6" t="str">
        <f ca="1">OFFSET(L!$C$1,MATCH("Declaration"&amp;ADDRESS(ROW(),COLUMN(),4),L!$A:$A,0)-1,SL,,)</f>
        <v>Answer</v>
      </c>
      <c r="E25" s="34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5" t="s">
        <v>476</v>
      </c>
      <c r="E26" s="336"/>
      <c r="F26" s="12"/>
      <c r="G26" s="343"/>
      <c r="H26" s="344"/>
      <c r="I26" s="344"/>
      <c r="J26" s="34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5" t="s">
        <v>475</v>
      </c>
      <c r="E27" s="336"/>
      <c r="F27" s="12"/>
      <c r="G27" s="343"/>
      <c r="H27" s="344"/>
      <c r="I27" s="344"/>
      <c r="J27" s="34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5" t="s">
        <v>475</v>
      </c>
      <c r="E28" s="336"/>
      <c r="F28" s="12"/>
      <c r="G28" s="343"/>
      <c r="H28" s="344"/>
      <c r="I28" s="344"/>
      <c r="J28" s="34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5" t="s">
        <v>475</v>
      </c>
      <c r="E29" s="336"/>
      <c r="F29" s="12"/>
      <c r="G29" s="343"/>
      <c r="H29" s="344"/>
      <c r="I29" s="344"/>
      <c r="J29" s="34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1"/>
      <c r="E32" s="342"/>
      <c r="F32" s="47"/>
      <c r="G32" s="343"/>
      <c r="H32" s="344"/>
      <c r="I32" s="344"/>
      <c r="J32" s="34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5" t="s">
        <v>475</v>
      </c>
      <c r="E33" s="336"/>
      <c r="F33" s="47"/>
      <c r="G33" s="343"/>
      <c r="H33" s="344"/>
      <c r="I33" s="344"/>
      <c r="J33" s="34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5" t="s">
        <v>475</v>
      </c>
      <c r="E34" s="336"/>
      <c r="F34" s="47"/>
      <c r="G34" s="343"/>
      <c r="H34" s="344"/>
      <c r="I34" s="344"/>
      <c r="J34" s="34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5" t="s">
        <v>475</v>
      </c>
      <c r="E35" s="336"/>
      <c r="F35" s="47"/>
      <c r="G35" s="343"/>
      <c r="H35" s="344"/>
      <c r="I35" s="344"/>
      <c r="J35" s="34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77"/>
      <c r="I37" s="377"/>
      <c r="J37" s="377"/>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5"/>
      <c r="E38" s="336"/>
      <c r="F38" s="47"/>
      <c r="G38" s="343"/>
      <c r="H38" s="344"/>
      <c r="I38" s="344"/>
      <c r="J38" s="34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5" t="s">
        <v>476</v>
      </c>
      <c r="E39" s="336"/>
      <c r="F39" s="47"/>
      <c r="G39" s="343"/>
      <c r="H39" s="344"/>
      <c r="I39" s="344"/>
      <c r="J39" s="34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5" t="s">
        <v>476</v>
      </c>
      <c r="E40" s="336"/>
      <c r="F40" s="47"/>
      <c r="G40" s="343"/>
      <c r="H40" s="344"/>
      <c r="I40" s="344"/>
      <c r="J40" s="34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5" t="s">
        <v>476</v>
      </c>
      <c r="E41" s="336"/>
      <c r="F41" s="47"/>
      <c r="G41" s="343"/>
      <c r="H41" s="344"/>
      <c r="I41" s="344"/>
      <c r="J41" s="34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5"/>
      <c r="E44" s="336"/>
      <c r="F44" s="47"/>
      <c r="G44" s="343"/>
      <c r="H44" s="344"/>
      <c r="I44" s="344"/>
      <c r="J44" s="34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476</v>
      </c>
      <c r="E45" s="336"/>
      <c r="F45" s="47"/>
      <c r="G45" s="343"/>
      <c r="H45" s="344"/>
      <c r="I45" s="344"/>
      <c r="J45" s="34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476</v>
      </c>
      <c r="E46" s="336"/>
      <c r="F46" s="47"/>
      <c r="G46" s="343"/>
      <c r="H46" s="344"/>
      <c r="I46" s="344"/>
      <c r="J46" s="34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5" t="s">
        <v>476</v>
      </c>
      <c r="E47" s="336"/>
      <c r="F47" s="47"/>
      <c r="G47" s="343"/>
      <c r="H47" s="344"/>
      <c r="I47" s="344"/>
      <c r="J47" s="34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5"/>
      <c r="E50" s="336"/>
      <c r="F50" s="47"/>
      <c r="G50" s="343"/>
      <c r="H50" s="344"/>
      <c r="I50" s="344"/>
      <c r="J50" s="34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5" t="s">
        <v>476</v>
      </c>
      <c r="E51" s="336"/>
      <c r="F51" s="47"/>
      <c r="G51" s="343"/>
      <c r="H51" s="344"/>
      <c r="I51" s="344"/>
      <c r="J51" s="34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5" t="s">
        <v>476</v>
      </c>
      <c r="E52" s="336"/>
      <c r="F52" s="47"/>
      <c r="G52" s="343"/>
      <c r="H52" s="344"/>
      <c r="I52" s="344"/>
      <c r="J52" s="34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5" t="s">
        <v>476</v>
      </c>
      <c r="E53" s="336"/>
      <c r="F53" s="47"/>
      <c r="G53" s="343"/>
      <c r="H53" s="344"/>
      <c r="I53" s="344"/>
      <c r="J53" s="34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43"/>
      <c r="H56" s="344"/>
      <c r="I56" s="344"/>
      <c r="J56" s="34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43"/>
      <c r="H57" s="344"/>
      <c r="I57" s="344"/>
      <c r="J57" s="34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15825</v>
      </c>
      <c r="E58" s="348"/>
      <c r="F58" s="47"/>
      <c r="G58" s="343"/>
      <c r="H58" s="344"/>
      <c r="I58" s="344"/>
      <c r="J58" s="34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15825</v>
      </c>
      <c r="E59" s="348"/>
      <c r="F59" s="47"/>
      <c r="G59" s="343"/>
      <c r="H59" s="344"/>
      <c r="I59" s="344"/>
      <c r="J59" s="34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70"/>
      <c r="I61" s="370"/>
      <c r="J61" s="37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1"/>
      <c r="E62" s="342"/>
      <c r="F62" s="47"/>
      <c r="G62" s="343"/>
      <c r="H62" s="344"/>
      <c r="I62" s="344"/>
      <c r="J62" s="34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5" t="s">
        <v>475</v>
      </c>
      <c r="E63" s="336"/>
      <c r="F63" s="47"/>
      <c r="G63" s="343"/>
      <c r="H63" s="344"/>
      <c r="I63" s="344"/>
      <c r="J63" s="34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5" t="s">
        <v>475</v>
      </c>
      <c r="E64" s="336"/>
      <c r="F64" s="47"/>
      <c r="G64" s="343"/>
      <c r="H64" s="344"/>
      <c r="I64" s="344"/>
      <c r="J64" s="34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5" t="s">
        <v>475</v>
      </c>
      <c r="E65" s="336"/>
      <c r="F65" s="47"/>
      <c r="G65" s="343"/>
      <c r="H65" s="344"/>
      <c r="I65" s="344"/>
      <c r="J65" s="34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70" t="str">
        <f>IF(Q75="(*)","Click here to enter smelter names","")</f>
        <v/>
      </c>
      <c r="I67" s="370"/>
      <c r="J67" s="37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5"/>
      <c r="E68" s="336"/>
      <c r="F68" s="48"/>
      <c r="G68" s="343"/>
      <c r="H68" s="344"/>
      <c r="I68" s="344"/>
      <c r="J68" s="34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5" t="s">
        <v>475</v>
      </c>
      <c r="E69" s="336"/>
      <c r="F69" s="48"/>
      <c r="G69" s="343"/>
      <c r="H69" s="344"/>
      <c r="I69" s="344"/>
      <c r="J69" s="34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5" t="s">
        <v>475</v>
      </c>
      <c r="E70" s="336"/>
      <c r="F70" s="48"/>
      <c r="G70" s="343"/>
      <c r="H70" s="344"/>
      <c r="I70" s="344"/>
      <c r="J70" s="34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5" t="s">
        <v>475</v>
      </c>
      <c r="E71" s="336"/>
      <c r="F71" s="50"/>
      <c r="G71" s="343"/>
      <c r="H71" s="344"/>
      <c r="I71" s="344"/>
      <c r="J71" s="34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6" t="str">
        <f ca="1">D25</f>
        <v>Answer</v>
      </c>
      <c r="E74" s="346"/>
      <c r="F74" s="53"/>
      <c r="G74" s="346" t="str">
        <f ca="1">G25</f>
        <v>Comments</v>
      </c>
      <c r="H74" s="346" t="e">
        <f>HLOOKUP(SL,LT,$O74,0)</f>
        <v>#NAME?</v>
      </c>
      <c r="I74" s="34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475</v>
      </c>
      <c r="E75" s="336"/>
      <c r="F75" s="57"/>
      <c r="G75" s="343"/>
      <c r="H75" s="344"/>
      <c r="I75" s="344"/>
      <c r="J75" s="34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475</v>
      </c>
      <c r="E77" s="336"/>
      <c r="F77" s="57"/>
      <c r="G77" s="371" t="s">
        <v>15826</v>
      </c>
      <c r="H77" s="372"/>
      <c r="I77" s="372"/>
      <c r="J77" s="37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475</v>
      </c>
      <c r="E79" s="336"/>
      <c r="F79" s="57"/>
      <c r="G79" s="343"/>
      <c r="H79" s="344"/>
      <c r="I79" s="344"/>
      <c r="J79" s="34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475</v>
      </c>
      <c r="E81" s="336"/>
      <c r="F81" s="57"/>
      <c r="G81" s="343"/>
      <c r="H81" s="344"/>
      <c r="I81" s="344"/>
      <c r="J81" s="34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14853</v>
      </c>
      <c r="E83" s="336"/>
      <c r="F83" s="57"/>
      <c r="G83" s="343"/>
      <c r="H83" s="344"/>
      <c r="I83" s="344"/>
      <c r="J83" s="34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43"/>
      <c r="H85" s="344"/>
      <c r="I85" s="344"/>
      <c r="J85" s="34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475</v>
      </c>
      <c r="E87" s="336"/>
      <c r="F87" s="57"/>
      <c r="G87" s="343"/>
      <c r="H87" s="344"/>
      <c r="I87" s="344"/>
      <c r="J87" s="34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476</v>
      </c>
      <c r="E89" s="336"/>
      <c r="F89" s="57"/>
      <c r="G89" s="343"/>
      <c r="H89" s="344"/>
      <c r="I89" s="344"/>
      <c r="J89" s="34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62:J62"/>
    <mergeCell ref="D52:E52"/>
    <mergeCell ref="G57:J57"/>
    <mergeCell ref="G58:J58"/>
    <mergeCell ref="D79:E79"/>
    <mergeCell ref="G83:J83"/>
    <mergeCell ref="G79:J79"/>
    <mergeCell ref="D77:E77"/>
    <mergeCell ref="G74:I74"/>
    <mergeCell ref="D74:E74"/>
    <mergeCell ref="G76:J76"/>
    <mergeCell ref="G70:J70"/>
    <mergeCell ref="G71:J71"/>
    <mergeCell ref="D23:E23"/>
    <mergeCell ref="G33:J33"/>
    <mergeCell ref="D29:E29"/>
    <mergeCell ref="G26:J26"/>
    <mergeCell ref="G28:J28"/>
    <mergeCell ref="A91:J91"/>
    <mergeCell ref="G85:J85"/>
    <mergeCell ref="B90:J90"/>
    <mergeCell ref="D81:E81"/>
    <mergeCell ref="D87:E87"/>
    <mergeCell ref="D85:E85"/>
    <mergeCell ref="D89:E89"/>
    <mergeCell ref="G86:J86"/>
    <mergeCell ref="G87:J87"/>
    <mergeCell ref="G88:J88"/>
    <mergeCell ref="G81:J81"/>
    <mergeCell ref="D28:E28"/>
    <mergeCell ref="D71:E71"/>
    <mergeCell ref="G75:J75"/>
    <mergeCell ref="D70:E70"/>
    <mergeCell ref="D75:E75"/>
    <mergeCell ref="B73:J73"/>
    <mergeCell ref="D83:E83"/>
    <mergeCell ref="G89:J89"/>
    <mergeCell ref="G59:J59"/>
    <mergeCell ref="D58:E58"/>
    <mergeCell ref="D55:E55"/>
    <mergeCell ref="D53:E53"/>
    <mergeCell ref="H67:J67"/>
    <mergeCell ref="D67:E67"/>
    <mergeCell ref="G68:J68"/>
    <mergeCell ref="G69:J69"/>
    <mergeCell ref="G77:J77"/>
    <mergeCell ref="D65:E65"/>
    <mergeCell ref="D64:E64"/>
    <mergeCell ref="D63:E63"/>
    <mergeCell ref="G63:J63"/>
    <mergeCell ref="G64:J64"/>
    <mergeCell ref="D62:E62"/>
    <mergeCell ref="G65:J65"/>
    <mergeCell ref="G53:J53"/>
    <mergeCell ref="D59:E59"/>
    <mergeCell ref="D56:E56"/>
    <mergeCell ref="G56:J56"/>
    <mergeCell ref="D61:E61"/>
    <mergeCell ref="H61:J61"/>
    <mergeCell ref="D69:E69"/>
    <mergeCell ref="D68:E68"/>
    <mergeCell ref="A1:K1"/>
    <mergeCell ref="D2:J2"/>
    <mergeCell ref="D8:J8"/>
    <mergeCell ref="B4:H4"/>
    <mergeCell ref="D10:J10"/>
    <mergeCell ref="F3:H3"/>
    <mergeCell ref="I4:J4"/>
    <mergeCell ref="D9:G9"/>
    <mergeCell ref="B7:J7"/>
    <mergeCell ref="B10:B11"/>
    <mergeCell ref="B6:J6"/>
    <mergeCell ref="D11:J11"/>
    <mergeCell ref="D38:E38"/>
    <mergeCell ref="G39:J39"/>
    <mergeCell ref="G32:J32"/>
    <mergeCell ref="G29:J29"/>
    <mergeCell ref="D57:E57"/>
    <mergeCell ref="G27:J27"/>
    <mergeCell ref="G41:J41"/>
    <mergeCell ref="D40:E40"/>
    <mergeCell ref="D41:E41"/>
    <mergeCell ref="G50:J50"/>
    <mergeCell ref="D51:E51"/>
    <mergeCell ref="G51:J51"/>
    <mergeCell ref="D34:E34"/>
    <mergeCell ref="D33:E33"/>
    <mergeCell ref="G34:J34"/>
    <mergeCell ref="G52:J52"/>
    <mergeCell ref="H37:J37"/>
    <mergeCell ref="G40:J40"/>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D18:J18"/>
    <mergeCell ref="D12:J12"/>
    <mergeCell ref="D19:J19"/>
    <mergeCell ref="D17:J17"/>
    <mergeCell ref="D14:J14"/>
    <mergeCell ref="D13:J13"/>
    <mergeCell ref="D15:J15"/>
    <mergeCell ref="D16:J16"/>
    <mergeCell ref="D20:J20"/>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951169-95D0-40D9-A371-17D701398051}"/>
    <hyperlink ref="D20" r:id="rId4" xr:uid="{A929F4F3-816F-476F-B046-38DC13377A0F}"/>
    <hyperlink ref="G77" r:id="rId5" xr:uid="{AB166607-09B5-41E3-B5FB-16B34406E5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36" zoomScaleNormal="100" zoomScalePageLayoutView="55" workbookViewId="0">
      <selection activeCell="A62" sqref="A62:XFD6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5.5">
      <c r="A5" s="262" t="s">
        <v>762</v>
      </c>
      <c r="B5" s="182" t="s">
        <v>1099</v>
      </c>
      <c r="C5" s="186" t="s">
        <v>761</v>
      </c>
      <c r="D5" s="230"/>
      <c r="E5" s="182" t="s">
        <v>2383</v>
      </c>
      <c r="F5" s="182" t="s">
        <v>762</v>
      </c>
      <c r="G5" s="182" t="s">
        <v>13177</v>
      </c>
      <c r="H5" s="183">
        <v>0</v>
      </c>
      <c r="I5" s="184" t="s">
        <v>13738</v>
      </c>
      <c r="J5" s="184" t="s">
        <v>1665</v>
      </c>
      <c r="K5" s="224"/>
      <c r="L5" s="224"/>
      <c r="M5" s="224"/>
      <c r="N5" s="224"/>
      <c r="O5" s="224"/>
      <c r="P5" s="185"/>
      <c r="Q5" s="225"/>
      <c r="R5" s="182" t="str">
        <f ca="1">IF(ISERROR($V5),"",OFFSET('Smelter Look-up'!$C$4,$V5-4,0)&amp;"")</f>
        <v>Rui Da Hung</v>
      </c>
      <c r="S5" s="181" t="str">
        <f ca="1">IF(B5="","",IF(ISERROR(MATCH($E5,CL,0)),"Unknown",INDIRECT("'C'!$A$"&amp;MATCH($E5,CL,0)+1)))</f>
        <v>TW</v>
      </c>
      <c r="T5" s="181" t="str">
        <f ca="1">IF(B5="","",IF(ISERROR(MATCH($J5,SorP!$B$1:$B$6226,0)),"",INDIRECT("'SorP'!$A$"&amp;MATCH($S5&amp;$J5,SorP!C:C,0))))</f>
        <v>TW-TAO</v>
      </c>
      <c r="U5" s="201"/>
      <c r="V5" s="226">
        <f>IF(C5="",NA(),IF(OR(C5="Smelter not listed",C5="Smelter not yet identified"),MATCH($B5&amp;$D5,'Smelter Look-up'!$J:$J,0),MATCH($B5&amp;$C5,'Smelter Look-up'!$J:$J,0)))</f>
        <v>515</v>
      </c>
      <c r="X5" s="227">
        <f t="shared" ref="X5" si="0">IF(AND(C5="Smelter not listed",OR(LEN(D5)=0,LEN(E5)=0)),1,0)</f>
        <v>0</v>
      </c>
      <c r="AB5" s="228" t="str">
        <f t="shared" ref="AB5" si="1">B5&amp;C5</f>
        <v>TinRui Da Hung</v>
      </c>
    </row>
    <row r="6" spans="1:34" s="227" customFormat="1" ht="20.100000000000001" customHeight="1">
      <c r="A6" s="262" t="s">
        <v>760</v>
      </c>
      <c r="B6" s="182" t="s">
        <v>1099</v>
      </c>
      <c r="C6" s="186" t="s">
        <v>13713</v>
      </c>
      <c r="D6" s="230"/>
      <c r="E6" s="182" t="s">
        <v>1074</v>
      </c>
      <c r="F6" s="182" t="s">
        <v>760</v>
      </c>
      <c r="G6" s="182" t="s">
        <v>13177</v>
      </c>
      <c r="H6" s="183">
        <v>0</v>
      </c>
      <c r="I6" s="184" t="s">
        <v>1751</v>
      </c>
      <c r="J6" s="184" t="s">
        <v>12799</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t="s">
        <v>777</v>
      </c>
      <c r="B7" s="182" t="s">
        <v>1099</v>
      </c>
      <c r="C7" s="186" t="s">
        <v>13714</v>
      </c>
      <c r="D7" s="230"/>
      <c r="E7" s="182" t="s">
        <v>1074</v>
      </c>
      <c r="F7" s="182" t="s">
        <v>777</v>
      </c>
      <c r="G7" s="182" t="s">
        <v>13177</v>
      </c>
      <c r="H7" s="183">
        <v>0</v>
      </c>
      <c r="I7" s="184" t="s">
        <v>1749</v>
      </c>
      <c r="J7" s="184" t="s">
        <v>6016</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IF(C7="",NA(),IF(OR(C7="Smelter not listed",C7="Smelter not yet identified"),MATCH($B7&amp;$D7,'Smelter Look-up'!$J:$J,0),MATCH($B7&amp;$C7,'Smelter Look-up'!$J:$J,0)))</f>
        <v>509</v>
      </c>
      <c r="X7" s="227">
        <f t="shared" si="3"/>
        <v>0</v>
      </c>
      <c r="AB7" s="228" t="str">
        <f t="shared" si="4"/>
        <v>TinPT Timah Tbk Kundur</v>
      </c>
    </row>
    <row r="8" spans="1:34" s="227" customFormat="1" ht="20.100000000000001" customHeight="1">
      <c r="A8" s="262" t="s">
        <v>763</v>
      </c>
      <c r="B8" s="182" t="s">
        <v>1099</v>
      </c>
      <c r="C8" s="186" t="s">
        <v>1000</v>
      </c>
      <c r="D8" s="230"/>
      <c r="E8" s="182" t="s">
        <v>859</v>
      </c>
      <c r="F8" s="182" t="s">
        <v>763</v>
      </c>
      <c r="G8" s="182" t="s">
        <v>13177</v>
      </c>
      <c r="H8" s="183">
        <v>0</v>
      </c>
      <c r="I8" s="184" t="s">
        <v>1752</v>
      </c>
      <c r="J8" s="184" t="s">
        <v>1753</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521</v>
      </c>
      <c r="X8" s="227">
        <f t="shared" si="3"/>
        <v>0</v>
      </c>
      <c r="AB8" s="228" t="str">
        <f t="shared" si="4"/>
        <v>TinThaisarco</v>
      </c>
    </row>
    <row r="9" spans="1:34" s="227" customFormat="1" ht="20.100000000000001" customHeight="1">
      <c r="A9" s="262" t="s">
        <v>15307</v>
      </c>
      <c r="B9" s="182" t="s">
        <v>1099</v>
      </c>
      <c r="C9" s="186" t="s">
        <v>15306</v>
      </c>
      <c r="D9" s="230"/>
      <c r="E9" s="182" t="s">
        <v>1074</v>
      </c>
      <c r="F9" s="182" t="s">
        <v>15307</v>
      </c>
      <c r="G9" s="182" t="s">
        <v>13177</v>
      </c>
      <c r="H9" s="183">
        <v>0</v>
      </c>
      <c r="I9" s="184" t="s">
        <v>15308</v>
      </c>
      <c r="J9" s="184" t="s">
        <v>1748</v>
      </c>
      <c r="K9" s="224"/>
      <c r="L9" s="224"/>
      <c r="M9" s="224"/>
      <c r="N9" s="224"/>
      <c r="O9" s="224"/>
      <c r="P9" s="185"/>
      <c r="Q9" s="225"/>
      <c r="R9" s="182" t="str">
        <f ca="1">IF(ISERROR($V9),"",OFFSET('Smelter Look-up'!$C$4,$V9-4,0)&amp;"")</f>
        <v>PT Cipta Persada Mulia</v>
      </c>
      <c r="S9" s="181" t="str">
        <f t="shared" ca="1" si="2"/>
        <v>ID</v>
      </c>
      <c r="T9" s="181" t="str">
        <f ca="1">IF(B9="","",IF(ISERROR(MATCH($J9,SorP!$B$1:$B$6226,0)),"",INDIRECT("'SorP'!$A$"&amp;MATCH($S9&amp;$J9,SorP!C:C,0))))</f>
        <v>ID-KR</v>
      </c>
      <c r="U9" s="201"/>
      <c r="V9" s="226">
        <f>IF(C9="",NA(),IF(OR(C9="Smelter not listed",C9="Smelter not yet identified"),MATCH($B9&amp;$D9,'Smelter Look-up'!$J:$J,0),MATCH($B9&amp;$C9,'Smelter Look-up'!$J:$J,0)))</f>
        <v>501</v>
      </c>
      <c r="X9" s="227">
        <f t="shared" si="3"/>
        <v>0</v>
      </c>
      <c r="AB9" s="228" t="str">
        <f t="shared" si="4"/>
        <v>TinPT Cipta Persada Mulia</v>
      </c>
    </row>
    <row r="10" spans="1:34" s="227" customFormat="1" ht="20.100000000000001" customHeight="1">
      <c r="A10" s="262" t="s">
        <v>766</v>
      </c>
      <c r="B10" s="182" t="s">
        <v>1099</v>
      </c>
      <c r="C10" s="186" t="s">
        <v>15303</v>
      </c>
      <c r="D10" s="230"/>
      <c r="E10" s="182" t="s">
        <v>1069</v>
      </c>
      <c r="F10" s="182" t="s">
        <v>766</v>
      </c>
      <c r="G10" s="182" t="s">
        <v>13177</v>
      </c>
      <c r="H10" s="183">
        <v>0</v>
      </c>
      <c r="I10" s="184" t="s">
        <v>2398</v>
      </c>
      <c r="J10" s="184" t="s">
        <v>13540</v>
      </c>
      <c r="K10" s="224"/>
      <c r="L10" s="224"/>
      <c r="M10" s="224"/>
      <c r="N10" s="224"/>
      <c r="O10" s="224"/>
      <c r="P10" s="185"/>
      <c r="Q10" s="225"/>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524</v>
      </c>
      <c r="X10" s="227">
        <f t="shared" si="3"/>
        <v>0</v>
      </c>
      <c r="AB10" s="228" t="str">
        <f t="shared" si="4"/>
        <v>TinTin Smelting Branch of Yunnan Tin Co., Ltd.</v>
      </c>
    </row>
    <row r="11" spans="1:34" s="227" customFormat="1" ht="20.100000000000001" customHeight="1">
      <c r="A11" s="262" t="s">
        <v>748</v>
      </c>
      <c r="B11" s="182" t="s">
        <v>1099</v>
      </c>
      <c r="C11" s="186" t="s">
        <v>2099</v>
      </c>
      <c r="D11" s="230"/>
      <c r="E11" s="182" t="s">
        <v>1069</v>
      </c>
      <c r="F11" s="182" t="s">
        <v>748</v>
      </c>
      <c r="G11" s="182" t="s">
        <v>13177</v>
      </c>
      <c r="H11" s="183">
        <v>0</v>
      </c>
      <c r="I11" s="184" t="s">
        <v>2398</v>
      </c>
      <c r="J11" s="184" t="s">
        <v>13540</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443</v>
      </c>
      <c r="X11" s="227">
        <f t="shared" si="3"/>
        <v>0</v>
      </c>
      <c r="AB11" s="228" t="str">
        <f t="shared" si="4"/>
        <v>TinGejiu Non-Ferrous Metal Processing Co., Ltd.</v>
      </c>
    </row>
    <row r="12" spans="1:34" s="227" customFormat="1" ht="20.100000000000001" customHeight="1">
      <c r="A12" s="262" t="s">
        <v>765</v>
      </c>
      <c r="B12" s="182" t="s">
        <v>1099</v>
      </c>
      <c r="C12" s="186" t="s">
        <v>2120</v>
      </c>
      <c r="D12" s="230"/>
      <c r="E12" s="182" t="s">
        <v>1069</v>
      </c>
      <c r="F12" s="182" t="s">
        <v>765</v>
      </c>
      <c r="G12" s="182" t="s">
        <v>13177</v>
      </c>
      <c r="H12" s="183">
        <v>0</v>
      </c>
      <c r="I12" s="184" t="s">
        <v>2398</v>
      </c>
      <c r="J12" s="184" t="s">
        <v>13540</v>
      </c>
      <c r="K12" s="224"/>
      <c r="L12" s="224"/>
      <c r="M12" s="224"/>
      <c r="N12" s="224"/>
      <c r="O12" s="224"/>
      <c r="P12" s="185"/>
      <c r="Q12" s="225"/>
      <c r="R12" s="182" t="str">
        <f ca="1">IF(ISERROR($V12),"",OFFSET('Smelter Look-up'!$C$4,$V12-4,0)&amp;"")</f>
        <v>Yunnan Chengfeng Non-ferrous Metals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539</v>
      </c>
      <c r="X12" s="227">
        <f t="shared" si="3"/>
        <v>0</v>
      </c>
      <c r="AB12" s="228" t="str">
        <f t="shared" si="4"/>
        <v>TinYunnan Chengfeng Non-ferrous Metals Co., Ltd.</v>
      </c>
    </row>
    <row r="13" spans="1:34" s="227" customFormat="1" ht="20.100000000000001" customHeight="1">
      <c r="A13" s="262" t="s">
        <v>633</v>
      </c>
      <c r="B13" s="182" t="s">
        <v>1098</v>
      </c>
      <c r="C13" s="186" t="s">
        <v>2095</v>
      </c>
      <c r="D13" s="230"/>
      <c r="E13" s="182" t="s">
        <v>1077</v>
      </c>
      <c r="F13" s="182" t="s">
        <v>633</v>
      </c>
      <c r="G13" s="182" t="s">
        <v>13177</v>
      </c>
      <c r="H13" s="183">
        <v>0</v>
      </c>
      <c r="I13" s="184" t="s">
        <v>1508</v>
      </c>
      <c r="J13" s="184" t="s">
        <v>1509</v>
      </c>
      <c r="K13" s="224"/>
      <c r="L13" s="224"/>
      <c r="M13" s="224"/>
      <c r="N13" s="224"/>
      <c r="O13" s="224"/>
      <c r="P13" s="185"/>
      <c r="Q13" s="225"/>
      <c r="R13" s="182" t="str">
        <f ca="1">IF(ISERROR($V13),"",OFFSET('Smelter Look-up'!$C$4,$V13-4,0)&amp;"")</f>
        <v>Aida Chemical Industries Co., Ltd.</v>
      </c>
      <c r="S13" s="181" t="str">
        <f t="shared" ca="1" si="2"/>
        <v>JP</v>
      </c>
      <c r="T13" s="181" t="str">
        <f ca="1">IF(B13="","",IF(ISERROR(MATCH($J13,SorP!$B$1:$B$6226,0)),"",INDIRECT("'SorP'!$A$"&amp;MATCH($S13&amp;$J13,SorP!C:C,0))))</f>
        <v>JP-13</v>
      </c>
      <c r="U13" s="201"/>
      <c r="V13" s="226">
        <f>IF(C13="",NA(),IF(OR(C13="Smelter not listed",C13="Smelter not yet identified"),MATCH($B13&amp;$D13,'Smelter Look-up'!$J:$J,0),MATCH($B13&amp;$C13,'Smelter Look-up'!$J:$J,0)))</f>
        <v>13</v>
      </c>
      <c r="X13" s="227">
        <f t="shared" si="3"/>
        <v>0</v>
      </c>
      <c r="AB13" s="228" t="str">
        <f t="shared" si="4"/>
        <v>GoldAida Chemical Industries Co., Ltd.</v>
      </c>
    </row>
    <row r="14" spans="1:34" s="227" customFormat="1" ht="20.100000000000001" customHeight="1">
      <c r="A14" s="262" t="s">
        <v>634</v>
      </c>
      <c r="B14" s="182" t="s">
        <v>1098</v>
      </c>
      <c r="C14" s="186" t="s">
        <v>15276</v>
      </c>
      <c r="D14" s="230"/>
      <c r="E14" s="182" t="s">
        <v>1070</v>
      </c>
      <c r="F14" s="182" t="s">
        <v>634</v>
      </c>
      <c r="G14" s="182" t="s">
        <v>13177</v>
      </c>
      <c r="H14" s="183">
        <v>0</v>
      </c>
      <c r="I14" s="184" t="s">
        <v>1510</v>
      </c>
      <c r="J14" s="184" t="s">
        <v>1511</v>
      </c>
      <c r="K14" s="224"/>
      <c r="L14" s="224"/>
      <c r="M14" s="224"/>
      <c r="N14" s="224"/>
      <c r="O14" s="224"/>
      <c r="P14" s="185"/>
      <c r="Q14" s="225"/>
      <c r="R14" s="182" t="str">
        <f ca="1">IF(ISERROR($V14),"",OFFSET('Smelter Look-up'!$C$4,$V14-4,0)&amp;"")</f>
        <v>Agosi AG</v>
      </c>
      <c r="S14" s="181" t="str">
        <f t="shared" ca="1" si="2"/>
        <v>DE</v>
      </c>
      <c r="T14" s="181" t="str">
        <f ca="1">IF(B14="","",IF(ISERROR(MATCH($J14,SorP!$B$1:$B$6226,0)),"",INDIRECT("'SorP'!$A$"&amp;MATCH($S14&amp;$J14,SorP!C:C,0))))</f>
        <v>DE-BW</v>
      </c>
      <c r="U14" s="201"/>
      <c r="V14" s="226">
        <f>IF(C14="",NA(),IF(OR(C14="Smelter not listed",C14="Smelter not yet identified"),MATCH($B14&amp;$D14,'Smelter Look-up'!$J:$J,0),MATCH($B14&amp;$C14,'Smelter Look-up'!$J:$J,0)))</f>
        <v>10</v>
      </c>
      <c r="X14" s="227">
        <f t="shared" si="3"/>
        <v>0</v>
      </c>
      <c r="AB14" s="228" t="str">
        <f t="shared" si="4"/>
        <v>GoldAgosi AG</v>
      </c>
    </row>
    <row r="15" spans="1:34" s="227" customFormat="1" ht="20.100000000000001" customHeight="1">
      <c r="A15" s="262" t="s">
        <v>636</v>
      </c>
      <c r="B15" s="182" t="s">
        <v>1098</v>
      </c>
      <c r="C15" s="186" t="s">
        <v>12375</v>
      </c>
      <c r="D15" s="230"/>
      <c r="E15" s="182" t="s">
        <v>1065</v>
      </c>
      <c r="F15" s="182" t="s">
        <v>636</v>
      </c>
      <c r="G15" s="182" t="s">
        <v>13177</v>
      </c>
      <c r="H15" s="183">
        <v>0</v>
      </c>
      <c r="I15" s="184" t="s">
        <v>1514</v>
      </c>
      <c r="J15" s="184" t="s">
        <v>1515</v>
      </c>
      <c r="K15" s="224"/>
      <c r="L15" s="224"/>
      <c r="M15" s="224"/>
      <c r="N15" s="224"/>
      <c r="O15" s="224"/>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IF(C15="",NA(),IF(OR(C15="Smelter not listed",C15="Smelter not yet identified"),MATCH($B15&amp;$D15,'Smelter Look-up'!$J:$J,0),MATCH($B15&amp;$C15,'Smelter Look-up'!$J:$J,0)))</f>
        <v>23</v>
      </c>
      <c r="X15" s="227">
        <f t="shared" si="3"/>
        <v>0</v>
      </c>
      <c r="AB15" s="228" t="str">
        <f t="shared" si="4"/>
        <v>GoldAngloGold Ashanti Corrego do Sitio Mineracao</v>
      </c>
    </row>
    <row r="16" spans="1:34" s="227" customFormat="1" ht="20.100000000000001" customHeight="1">
      <c r="A16" s="262" t="s">
        <v>637</v>
      </c>
      <c r="B16" s="182" t="s">
        <v>1098</v>
      </c>
      <c r="C16" s="186" t="s">
        <v>2236</v>
      </c>
      <c r="D16" s="230"/>
      <c r="E16" s="182" t="s">
        <v>1067</v>
      </c>
      <c r="F16" s="182" t="s">
        <v>637</v>
      </c>
      <c r="G16" s="182" t="s">
        <v>13177</v>
      </c>
      <c r="H16" s="183">
        <v>0</v>
      </c>
      <c r="I16" s="184" t="s">
        <v>1516</v>
      </c>
      <c r="J16" s="184" t="s">
        <v>1517</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IF(C16="",NA(),IF(OR(C16="Smelter not listed",C16="Smelter not yet identified"),MATCH($B16&amp;$D16,'Smelter Look-up'!$J:$J,0),MATCH($B16&amp;$C16,'Smelter Look-up'!$J:$J,0)))</f>
        <v>28</v>
      </c>
      <c r="X16" s="227">
        <f t="shared" si="3"/>
        <v>0</v>
      </c>
      <c r="AB16" s="228" t="str">
        <f t="shared" si="4"/>
        <v>GoldArgor-Heraeus S.A.</v>
      </c>
    </row>
    <row r="17" spans="1:28" s="227" customFormat="1" ht="20.100000000000001" customHeight="1">
      <c r="A17" s="262" t="s">
        <v>638</v>
      </c>
      <c r="B17" s="182" t="s">
        <v>1098</v>
      </c>
      <c r="C17" s="186" t="s">
        <v>15670</v>
      </c>
      <c r="D17" s="230"/>
      <c r="E17" s="182" t="s">
        <v>1077</v>
      </c>
      <c r="F17" s="182" t="s">
        <v>638</v>
      </c>
      <c r="G17" s="182" t="s">
        <v>13177</v>
      </c>
      <c r="H17" s="183">
        <v>0</v>
      </c>
      <c r="I17" s="184" t="s">
        <v>15680</v>
      </c>
      <c r="J17" s="184" t="s">
        <v>1712</v>
      </c>
      <c r="K17" s="224"/>
      <c r="L17" s="224"/>
      <c r="M17" s="224"/>
      <c r="N17" s="224"/>
      <c r="O17" s="224"/>
      <c r="P17" s="185"/>
      <c r="Q17" s="225"/>
      <c r="R17" s="182" t="str">
        <f ca="1">IF(ISERROR($V17),"",OFFSET('Smelter Look-up'!$C$4,$V17-4,0)&amp;"")</f>
        <v>ASAHI METALFINE, Inc.</v>
      </c>
      <c r="S17" s="181" t="str">
        <f t="shared" ca="1" si="2"/>
        <v>JP</v>
      </c>
      <c r="T17" s="181" t="str">
        <f ca="1">IF(B17="","",IF(ISERROR(MATCH($J17,SorP!$B$1:$B$6226,0)),"",INDIRECT("'SorP'!$A$"&amp;MATCH($S17&amp;$J17,SorP!C:C,0))))</f>
        <v>JP-08</v>
      </c>
      <c r="U17" s="201"/>
      <c r="V17" s="226">
        <f>IF(C17="",NA(),IF(OR(C17="Smelter not listed",C17="Smelter not yet identified"),MATCH($B17&amp;$D17,'Smelter Look-up'!$J:$J,0),MATCH($B17&amp;$C17,'Smelter Look-up'!$J:$J,0)))</f>
        <v>29</v>
      </c>
      <c r="X17" s="227">
        <f t="shared" si="3"/>
        <v>0</v>
      </c>
      <c r="AB17" s="228" t="str">
        <f t="shared" si="4"/>
        <v>GoldASAHI METALFINE, Inc.</v>
      </c>
    </row>
    <row r="18" spans="1:28" s="227" customFormat="1" ht="20.100000000000001" customHeight="1">
      <c r="A18" s="181" t="s">
        <v>639</v>
      </c>
      <c r="B18" s="182" t="s">
        <v>1098</v>
      </c>
      <c r="C18" s="186" t="s">
        <v>2096</v>
      </c>
      <c r="D18" s="230"/>
      <c r="E18" s="182" t="s">
        <v>1077</v>
      </c>
      <c r="F18" s="182" t="s">
        <v>639</v>
      </c>
      <c r="G18" s="182" t="s">
        <v>13177</v>
      </c>
      <c r="H18" s="183">
        <v>0</v>
      </c>
      <c r="I18" s="184" t="s">
        <v>1520</v>
      </c>
      <c r="J18" s="184" t="s">
        <v>1521</v>
      </c>
      <c r="K18" s="224"/>
      <c r="L18" s="224"/>
      <c r="M18" s="224"/>
      <c r="N18" s="224"/>
      <c r="O18" s="224"/>
      <c r="P18" s="185"/>
      <c r="Q18" s="225"/>
      <c r="R18" s="182" t="str">
        <f ca="1">IF(ISERROR($V18),"",OFFSET('Smelter Look-up'!$C$4,$V18-4,0)&amp;"")</f>
        <v>Asaka Riken Co., Ltd.</v>
      </c>
      <c r="S18" s="181" t="str">
        <f t="shared" ca="1" si="2"/>
        <v>JP</v>
      </c>
      <c r="T18" s="181" t="str">
        <f ca="1">IF(B18="","",IF(ISERROR(MATCH($J18,SorP!$B$1:$B$6226,0)),"",INDIRECT("'SorP'!$A$"&amp;MATCH($S18&amp;$J18,SorP!C:C,0))))</f>
        <v>JP-07</v>
      </c>
      <c r="U18" s="201"/>
      <c r="V18" s="226">
        <f>IF(C18="",NA(),IF(OR(C18="Smelter not listed",C18="Smelter not yet identified"),MATCH($B18&amp;$D18,'Smelter Look-up'!$J:$J,0),MATCH($B18&amp;$C18,'Smelter Look-up'!$J:$J,0)))</f>
        <v>33</v>
      </c>
      <c r="X18" s="227">
        <f t="shared" si="3"/>
        <v>0</v>
      </c>
      <c r="AB18" s="228" t="str">
        <f t="shared" si="4"/>
        <v>GoldAsaka Riken Co., Ltd.</v>
      </c>
    </row>
    <row r="19" spans="1:28" s="227" customFormat="1" ht="25.5">
      <c r="A19" s="181" t="s">
        <v>641</v>
      </c>
      <c r="B19" s="182" t="s">
        <v>1098</v>
      </c>
      <c r="C19" s="186" t="s">
        <v>1191</v>
      </c>
      <c r="D19" s="230"/>
      <c r="E19" s="182" t="s">
        <v>1070</v>
      </c>
      <c r="F19" s="182" t="s">
        <v>641</v>
      </c>
      <c r="G19" s="182" t="s">
        <v>13177</v>
      </c>
      <c r="H19" s="183">
        <v>0</v>
      </c>
      <c r="I19" s="184" t="s">
        <v>1523</v>
      </c>
      <c r="J19" s="184" t="s">
        <v>1523</v>
      </c>
      <c r="K19" s="224"/>
      <c r="L19" s="224"/>
      <c r="M19" s="224"/>
      <c r="N19" s="224"/>
      <c r="O19" s="224"/>
      <c r="P19" s="185"/>
      <c r="Q19" s="225"/>
      <c r="R19" s="182" t="str">
        <f ca="1">IF(ISERROR($V19),"",OFFSET('Smelter Look-up'!$C$4,$V19-4,0)&amp;"")</f>
        <v>Aurubis AG</v>
      </c>
      <c r="S19" s="181" t="str">
        <f t="shared" ca="1" si="2"/>
        <v>DE</v>
      </c>
      <c r="T19" s="181" t="str">
        <f ca="1">IF(B19="","",IF(ISERROR(MATCH($J19,SorP!$B$1:$B$6226,0)),"",INDIRECT("'SorP'!$A$"&amp;MATCH($S19&amp;$J19,SorP!C:C,0))))</f>
        <v>DE-HH</v>
      </c>
      <c r="U19" s="201"/>
      <c r="V19" s="226">
        <f>IF(C19="",NA(),IF(OR(C19="Smelter not listed",C19="Smelter not yet identified"),MATCH($B19&amp;$D19,'Smelter Look-up'!$J:$J,0),MATCH($B19&amp;$C19,'Smelter Look-up'!$J:$J,0)))</f>
        <v>39</v>
      </c>
      <c r="X19" s="227">
        <f t="shared" si="3"/>
        <v>0</v>
      </c>
      <c r="AB19" s="228" t="str">
        <f t="shared" si="4"/>
        <v>GoldAurubis AG</v>
      </c>
    </row>
    <row r="20" spans="1:28" s="227" customFormat="1" ht="51">
      <c r="A20" s="181" t="s">
        <v>643</v>
      </c>
      <c r="B20" s="182" t="s">
        <v>1098</v>
      </c>
      <c r="C20" s="186" t="s">
        <v>15597</v>
      </c>
      <c r="D20" s="230"/>
      <c r="E20" s="182" t="s">
        <v>858</v>
      </c>
      <c r="F20" s="182" t="s">
        <v>643</v>
      </c>
      <c r="G20" s="182" t="s">
        <v>13177</v>
      </c>
      <c r="H20" s="183">
        <v>0</v>
      </c>
      <c r="I20" s="184" t="s">
        <v>1525</v>
      </c>
      <c r="J20" s="184" t="s">
        <v>10222</v>
      </c>
      <c r="K20" s="224"/>
      <c r="L20" s="224"/>
      <c r="M20" s="224"/>
      <c r="N20" s="224"/>
      <c r="O20" s="224"/>
      <c r="P20" s="185"/>
      <c r="Q20" s="225"/>
      <c r="R20" s="182" t="str">
        <f ca="1">IF(ISERROR($V20),"",OFFSET('Smelter Look-up'!$C$4,$V20-4,0)&amp;"")</f>
        <v>Boliden Ronnskar</v>
      </c>
      <c r="S20" s="181" t="str">
        <f t="shared" ca="1" si="2"/>
        <v>SE</v>
      </c>
      <c r="T20" s="181" t="str">
        <f ca="1">IF(B20="","",IF(ISERROR(MATCH($J20,SorP!$B$1:$B$6226,0)),"",INDIRECT("'SorP'!$A$"&amp;MATCH($S20&amp;$J20,SorP!C:C,0))))</f>
        <v>SE-AC</v>
      </c>
      <c r="U20" s="201"/>
      <c r="V20" s="226">
        <f>IF(C20="",NA(),IF(OR(C20="Smelter not listed",C20="Smelter not yet identified"),MATCH($B20&amp;$D20,'Smelter Look-up'!$J:$J,0),MATCH($B20&amp;$C20,'Smelter Look-up'!$J:$J,0)))</f>
        <v>44</v>
      </c>
      <c r="X20" s="227">
        <f t="shared" si="3"/>
        <v>0</v>
      </c>
      <c r="AB20" s="228" t="str">
        <f t="shared" si="4"/>
        <v>GoldBoliden Ronnskar</v>
      </c>
    </row>
    <row r="21" spans="1:28" s="227" customFormat="1" ht="51">
      <c r="A21" s="181" t="s">
        <v>645</v>
      </c>
      <c r="B21" s="182" t="s">
        <v>1098</v>
      </c>
      <c r="C21" s="186" t="s">
        <v>644</v>
      </c>
      <c r="D21" s="230"/>
      <c r="E21" s="182" t="s">
        <v>1070</v>
      </c>
      <c r="F21" s="182" t="s">
        <v>645</v>
      </c>
      <c r="G21" s="182" t="s">
        <v>13177</v>
      </c>
      <c r="H21" s="183">
        <v>0</v>
      </c>
      <c r="I21" s="184" t="s">
        <v>1510</v>
      </c>
      <c r="J21" s="184" t="s">
        <v>1511</v>
      </c>
      <c r="K21" s="224"/>
      <c r="L21" s="224"/>
      <c r="M21" s="224"/>
      <c r="N21" s="224"/>
      <c r="O21" s="224"/>
      <c r="P21" s="185"/>
      <c r="Q21" s="225"/>
      <c r="R21" s="182" t="str">
        <f ca="1">IF(ISERROR($V21),"",OFFSET('Smelter Look-up'!$C$4,$V21-4,0)&amp;"")</f>
        <v>C. Hafner GmbH + Co. KG</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45</v>
      </c>
      <c r="X21" s="227">
        <f t="shared" si="3"/>
        <v>0</v>
      </c>
      <c r="AB21" s="228" t="str">
        <f t="shared" si="4"/>
        <v>GoldC. Hafner GmbH + Co. KG</v>
      </c>
    </row>
    <row r="22" spans="1:28" s="227" customFormat="1" ht="38.25">
      <c r="A22" s="181" t="s">
        <v>649</v>
      </c>
      <c r="B22" s="182" t="s">
        <v>1098</v>
      </c>
      <c r="C22" s="186" t="s">
        <v>50</v>
      </c>
      <c r="D22" s="230"/>
      <c r="E22" s="182" t="s">
        <v>1076</v>
      </c>
      <c r="F22" s="182" t="s">
        <v>649</v>
      </c>
      <c r="G22" s="182" t="s">
        <v>13177</v>
      </c>
      <c r="H22" s="183">
        <v>0</v>
      </c>
      <c r="I22" s="184" t="s">
        <v>1536</v>
      </c>
      <c r="J22" s="184" t="s">
        <v>6417</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25.5">
      <c r="A23" s="181" t="s">
        <v>654</v>
      </c>
      <c r="B23" s="182" t="s">
        <v>1098</v>
      </c>
      <c r="C23" s="186" t="s">
        <v>877</v>
      </c>
      <c r="D23" s="230"/>
      <c r="E23" s="182" t="s">
        <v>1077</v>
      </c>
      <c r="F23" s="182" t="s">
        <v>654</v>
      </c>
      <c r="G23" s="182" t="s">
        <v>13177</v>
      </c>
      <c r="H23" s="183">
        <v>0</v>
      </c>
      <c r="I23" s="184" t="s">
        <v>1541</v>
      </c>
      <c r="J23" s="184" t="s">
        <v>1542</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IF(C23="",NA(),IF(OR(C23="Smelter not listed",C23="Smelter not yet identified"),MATCH($B23&amp;$D23,'Smelter Look-up'!$J:$J,0),MATCH($B23&amp;$C23,'Smelter Look-up'!$J:$J,0)))</f>
        <v>68</v>
      </c>
      <c r="X23" s="227">
        <f t="shared" si="3"/>
        <v>0</v>
      </c>
      <c r="AB23" s="228" t="str">
        <f t="shared" si="4"/>
        <v>GoldDowa</v>
      </c>
    </row>
    <row r="24" spans="1:28" s="227" customFormat="1" ht="102">
      <c r="A24" s="181" t="s">
        <v>384</v>
      </c>
      <c r="B24" s="182" t="s">
        <v>1098</v>
      </c>
      <c r="C24" s="186" t="s">
        <v>13747</v>
      </c>
      <c r="D24" s="230"/>
      <c r="E24" s="182" t="s">
        <v>1077</v>
      </c>
      <c r="F24" s="182" t="s">
        <v>384</v>
      </c>
      <c r="G24" s="182" t="s">
        <v>13177</v>
      </c>
      <c r="H24" s="183">
        <v>0</v>
      </c>
      <c r="I24" s="184" t="s">
        <v>1546</v>
      </c>
      <c r="J24" s="184" t="s">
        <v>1547</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73</v>
      </c>
      <c r="X24" s="227">
        <f t="shared" si="3"/>
        <v>0</v>
      </c>
      <c r="AB24" s="228" t="str">
        <f t="shared" si="4"/>
        <v>GoldEco-System Recycling Co., Ltd. East Plant</v>
      </c>
    </row>
    <row r="25" spans="1:28" s="227" customFormat="1" ht="51">
      <c r="A25" s="181" t="s">
        <v>659</v>
      </c>
      <c r="B25" s="182" t="s">
        <v>1098</v>
      </c>
      <c r="C25" s="186" t="s">
        <v>1008</v>
      </c>
      <c r="D25" s="230"/>
      <c r="E25" s="182" t="s">
        <v>1070</v>
      </c>
      <c r="F25" s="182" t="s">
        <v>659</v>
      </c>
      <c r="G25" s="182" t="s">
        <v>13177</v>
      </c>
      <c r="H25" s="183">
        <v>0</v>
      </c>
      <c r="I25" s="184" t="s">
        <v>1510</v>
      </c>
      <c r="J25" s="184" t="s">
        <v>1511</v>
      </c>
      <c r="K25" s="224"/>
      <c r="L25" s="224"/>
      <c r="M25" s="224"/>
      <c r="N25" s="224"/>
      <c r="O25" s="224"/>
      <c r="P25" s="185"/>
      <c r="Q25" s="225"/>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104</v>
      </c>
      <c r="X25" s="227">
        <f t="shared" si="3"/>
        <v>0</v>
      </c>
      <c r="AB25" s="228" t="str">
        <f t="shared" si="4"/>
        <v>GoldHeimerle + Meule GmbH</v>
      </c>
    </row>
    <row r="26" spans="1:28" s="227" customFormat="1" ht="76.5">
      <c r="A26" s="181" t="s">
        <v>660</v>
      </c>
      <c r="B26" s="182" t="s">
        <v>1098</v>
      </c>
      <c r="C26" s="186" t="s">
        <v>2452</v>
      </c>
      <c r="D26" s="230"/>
      <c r="E26" s="182" t="s">
        <v>1069</v>
      </c>
      <c r="F26" s="182" t="s">
        <v>660</v>
      </c>
      <c r="G26" s="182" t="s">
        <v>13177</v>
      </c>
      <c r="H26" s="183">
        <v>0</v>
      </c>
      <c r="I26" s="184" t="s">
        <v>1555</v>
      </c>
      <c r="J26" s="184" t="s">
        <v>15604</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110</v>
      </c>
      <c r="X26" s="227">
        <f t="shared" si="3"/>
        <v>0</v>
      </c>
      <c r="AB26" s="228" t="str">
        <f t="shared" si="4"/>
        <v>GoldHeraeus Metals Hong Kong Ltd.</v>
      </c>
    </row>
    <row r="27" spans="1:28" s="227" customFormat="1" ht="63.75">
      <c r="A27" s="181" t="s">
        <v>661</v>
      </c>
      <c r="B27" s="182" t="s">
        <v>1098</v>
      </c>
      <c r="C27" s="186" t="s">
        <v>14928</v>
      </c>
      <c r="D27" s="230"/>
      <c r="E27" s="182" t="s">
        <v>1070</v>
      </c>
      <c r="F27" s="182" t="s">
        <v>661</v>
      </c>
      <c r="G27" s="182" t="s">
        <v>13177</v>
      </c>
      <c r="H27" s="183">
        <v>0</v>
      </c>
      <c r="I27" s="184" t="s">
        <v>1556</v>
      </c>
      <c r="J27" s="184" t="s">
        <v>4195</v>
      </c>
      <c r="K27" s="224"/>
      <c r="L27" s="224"/>
      <c r="M27" s="224"/>
      <c r="N27" s="224"/>
      <c r="O27" s="224"/>
      <c r="P27" s="185"/>
      <c r="Q27" s="225"/>
      <c r="R27" s="182" t="str">
        <f ca="1">IF(ISERROR($V27),"",OFFSET('Smelter Look-up'!$C$4,$V27-4,0)&amp;"")</f>
        <v>Heraeus Germany GmbH Co. KG</v>
      </c>
      <c r="S27" s="181" t="str">
        <f t="shared" ca="1" si="2"/>
        <v>DE</v>
      </c>
      <c r="T27" s="181" t="str">
        <f ca="1">IF(B27="","",IF(ISERROR(MATCH($J27,SorP!$B$1:$B$6226,0)),"",INDIRECT("'SorP'!$A$"&amp;MATCH($S27&amp;$J27,SorP!C:C,0))))</f>
        <v>DE-HE</v>
      </c>
      <c r="U27" s="201"/>
      <c r="V27" s="226">
        <f>IF(C27="",NA(),IF(OR(C27="Smelter not listed",C27="Smelter not yet identified"),MATCH($B27&amp;$D27,'Smelter Look-up'!$J:$J,0),MATCH($B27&amp;$C27,'Smelter Look-up'!$J:$J,0)))</f>
        <v>108</v>
      </c>
      <c r="X27" s="227">
        <f t="shared" si="3"/>
        <v>0</v>
      </c>
      <c r="AB27" s="228" t="str">
        <f t="shared" si="4"/>
        <v>GoldHeraeus Germany GmbH Co. KG</v>
      </c>
    </row>
    <row r="28" spans="1:28" s="227" customFormat="1" ht="76.5">
      <c r="A28" s="181" t="s">
        <v>665</v>
      </c>
      <c r="B28" s="182" t="s">
        <v>1098</v>
      </c>
      <c r="C28" s="186" t="s">
        <v>1194</v>
      </c>
      <c r="D28" s="230"/>
      <c r="E28" s="182" t="s">
        <v>1077</v>
      </c>
      <c r="F28" s="182" t="s">
        <v>665</v>
      </c>
      <c r="G28" s="182" t="s">
        <v>13177</v>
      </c>
      <c r="H28" s="183">
        <v>0</v>
      </c>
      <c r="I28" s="184" t="s">
        <v>1560</v>
      </c>
      <c r="J28" s="184" t="s">
        <v>1547</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IF(C28="",NA(),IF(OR(C28="Smelter not listed",C28="Smelter not yet identified"),MATCH($B28&amp;$D28,'Smelter Look-up'!$J:$J,0),MATCH($B28&amp;$C28,'Smelter Look-up'!$J:$J,0)))</f>
        <v>123</v>
      </c>
      <c r="X28" s="227">
        <f t="shared" si="3"/>
        <v>0</v>
      </c>
      <c r="AB28" s="228" t="str">
        <f t="shared" si="4"/>
        <v>GoldIshifuku Metal Industry Co., Ltd.</v>
      </c>
    </row>
    <row r="29" spans="1:28" s="227" customFormat="1" ht="51">
      <c r="A29" s="181" t="s">
        <v>666</v>
      </c>
      <c r="B29" s="182" t="s">
        <v>1098</v>
      </c>
      <c r="C29" s="186" t="s">
        <v>1201</v>
      </c>
      <c r="D29" s="230"/>
      <c r="E29" s="182" t="s">
        <v>860</v>
      </c>
      <c r="F29" s="182" t="s">
        <v>666</v>
      </c>
      <c r="G29" s="182" t="s">
        <v>13177</v>
      </c>
      <c r="H29" s="183">
        <v>0</v>
      </c>
      <c r="I29" s="184" t="s">
        <v>1561</v>
      </c>
      <c r="J29" s="184" t="s">
        <v>11215</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IF(C29="",NA(),IF(OR(C29="Smelter not listed",C29="Smelter not yet identified"),MATCH($B29&amp;$D29,'Smelter Look-up'!$J:$J,0),MATCH($B29&amp;$C29,'Smelter Look-up'!$J:$J,0)))</f>
        <v>124</v>
      </c>
      <c r="X29" s="227">
        <f t="shared" si="3"/>
        <v>0</v>
      </c>
      <c r="AB29" s="228" t="str">
        <f t="shared" si="4"/>
        <v>GoldIstanbul Gold Refinery</v>
      </c>
    </row>
    <row r="30" spans="1:28" s="227" customFormat="1" ht="63.75">
      <c r="A30" s="181" t="s">
        <v>669</v>
      </c>
      <c r="B30" s="182" t="s">
        <v>1098</v>
      </c>
      <c r="C30" s="186" t="s">
        <v>2153</v>
      </c>
      <c r="D30" s="230"/>
      <c r="E30" s="182" t="s">
        <v>2384</v>
      </c>
      <c r="F30" s="182" t="s">
        <v>669</v>
      </c>
      <c r="G30" s="182" t="s">
        <v>13177</v>
      </c>
      <c r="H30" s="183">
        <v>0</v>
      </c>
      <c r="I30" s="184" t="s">
        <v>1565</v>
      </c>
      <c r="J30" s="184" t="s">
        <v>1566</v>
      </c>
      <c r="K30" s="224"/>
      <c r="L30" s="224"/>
      <c r="M30" s="224"/>
      <c r="N30" s="224"/>
      <c r="O30" s="224"/>
      <c r="P30" s="185"/>
      <c r="Q30" s="225"/>
      <c r="R30" s="182" t="str">
        <f ca="1">IF(ISERROR($V30),"",OFFSET('Smelter Look-up'!$C$4,$V30-4,0)&amp;"")</f>
        <v>Asahi Refining USA Inc.</v>
      </c>
      <c r="S30" s="181" t="str">
        <f t="shared" ca="1" si="2"/>
        <v>US</v>
      </c>
      <c r="T30" s="181" t="str">
        <f ca="1">IF(B30="","",IF(ISERROR(MATCH($J30,SorP!$B$1:$B$6226,0)),"",INDIRECT("'SorP'!$A$"&amp;MATCH($S30&amp;$J30,SorP!C:C,0))))</f>
        <v>US-UT</v>
      </c>
      <c r="U30" s="201"/>
      <c r="V30" s="226">
        <f>IF(C30="",NA(),IF(OR(C30="Smelter not listed",C30="Smelter not yet identified"),MATCH($B30&amp;$D30,'Smelter Look-up'!$J:$J,0),MATCH($B30&amp;$C30,'Smelter Look-up'!$J:$J,0)))</f>
        <v>32</v>
      </c>
      <c r="X30" s="227">
        <f t="shared" si="3"/>
        <v>0</v>
      </c>
      <c r="AB30" s="228" t="str">
        <f t="shared" si="4"/>
        <v>GoldAsahi Refining USA Inc.</v>
      </c>
    </row>
    <row r="31" spans="1:28" s="227" customFormat="1" ht="63.75">
      <c r="A31" s="181" t="s">
        <v>670</v>
      </c>
      <c r="B31" s="182" t="s">
        <v>1098</v>
      </c>
      <c r="C31" s="186" t="s">
        <v>2238</v>
      </c>
      <c r="D31" s="230"/>
      <c r="E31" s="182" t="s">
        <v>1066</v>
      </c>
      <c r="F31" s="182" t="s">
        <v>670</v>
      </c>
      <c r="G31" s="182" t="s">
        <v>13177</v>
      </c>
      <c r="H31" s="183">
        <v>0</v>
      </c>
      <c r="I31" s="184" t="s">
        <v>1568</v>
      </c>
      <c r="J31" s="184" t="s">
        <v>1569</v>
      </c>
      <c r="K31" s="224"/>
      <c r="L31" s="224"/>
      <c r="M31" s="224"/>
      <c r="N31" s="224"/>
      <c r="O31" s="224"/>
      <c r="P31" s="185"/>
      <c r="Q31" s="225"/>
      <c r="R31" s="182" t="str">
        <f ca="1">IF(ISERROR($V31),"",OFFSET('Smelter Look-up'!$C$4,$V31-4,0)&amp;"")</f>
        <v>Asahi Refining Canada Ltd.</v>
      </c>
      <c r="S31" s="181" t="str">
        <f t="shared" ca="1" si="2"/>
        <v>CA</v>
      </c>
      <c r="T31" s="181" t="str">
        <f ca="1">IF(B31="","",IF(ISERROR(MATCH($J31,SorP!$B$1:$B$6226,0)),"",INDIRECT("'SorP'!$A$"&amp;MATCH($S31&amp;$J31,SorP!C:C,0))))</f>
        <v>CA-ON</v>
      </c>
      <c r="U31" s="201"/>
      <c r="V31" s="226">
        <f>IF(C31="",NA(),IF(OR(C31="Smelter not listed",C31="Smelter not yet identified"),MATCH($B31&amp;$D31,'Smelter Look-up'!$J:$J,0),MATCH($B31&amp;$C31,'Smelter Look-up'!$J:$J,0)))</f>
        <v>31</v>
      </c>
      <c r="X31" s="227">
        <f t="shared" si="3"/>
        <v>0</v>
      </c>
      <c r="AB31" s="228" t="str">
        <f t="shared" si="4"/>
        <v>GoldAsahi Refining Canada Ltd.</v>
      </c>
    </row>
    <row r="32" spans="1:28" s="227" customFormat="1" ht="89.25">
      <c r="A32" s="181" t="s">
        <v>673</v>
      </c>
      <c r="B32" s="182" t="s">
        <v>1098</v>
      </c>
      <c r="C32" s="186" t="s">
        <v>52</v>
      </c>
      <c r="D32" s="230"/>
      <c r="E32" s="182" t="s">
        <v>1077</v>
      </c>
      <c r="F32" s="182" t="s">
        <v>673</v>
      </c>
      <c r="G32" s="182" t="s">
        <v>13177</v>
      </c>
      <c r="H32" s="183">
        <v>0</v>
      </c>
      <c r="I32" s="184" t="s">
        <v>2314</v>
      </c>
      <c r="J32" s="184" t="s">
        <v>6611</v>
      </c>
      <c r="K32" s="224"/>
      <c r="L32" s="224"/>
      <c r="M32" s="224"/>
      <c r="N32" s="224"/>
      <c r="O32" s="224"/>
      <c r="P32" s="185"/>
      <c r="Q32" s="225"/>
      <c r="R32" s="182" t="str">
        <f ca="1">IF(ISERROR($V32),"",OFFSET('Smelter Look-up'!$C$4,$V32-4,0)&amp;"")</f>
        <v>JX Nippon Mining &amp; Metals Co., Ltd.</v>
      </c>
      <c r="S32" s="181" t="str">
        <f t="shared" ca="1" si="2"/>
        <v>JP</v>
      </c>
      <c r="T32" s="181" t="str">
        <f ca="1">IF(B32="","",IF(ISERROR(MATCH($J32,SorP!$B$1:$B$6226,0)),"",INDIRECT("'SorP'!$A$"&amp;MATCH($S32&amp;$J32,SorP!C:C,0))))</f>
        <v>JP-44</v>
      </c>
      <c r="U32" s="201"/>
      <c r="V32" s="226">
        <f>IF(C32="",NA(),IF(OR(C32="Smelter not listed",C32="Smelter not yet identified"),MATCH($B32&amp;$D32,'Smelter Look-up'!$J:$J,0),MATCH($B32&amp;$C32,'Smelter Look-up'!$J:$J,0)))</f>
        <v>137</v>
      </c>
      <c r="X32" s="227">
        <f t="shared" si="3"/>
        <v>0</v>
      </c>
      <c r="AB32" s="228" t="str">
        <f t="shared" si="4"/>
        <v>GoldJX Nippon Mining &amp; Metals Co., Ltd.</v>
      </c>
    </row>
    <row r="33" spans="1:28" s="227" customFormat="1" ht="63.75">
      <c r="A33" s="181" t="s">
        <v>677</v>
      </c>
      <c r="B33" s="182" t="s">
        <v>1098</v>
      </c>
      <c r="C33" s="186" t="s">
        <v>2102</v>
      </c>
      <c r="D33" s="230"/>
      <c r="E33" s="182" t="s">
        <v>1077</v>
      </c>
      <c r="F33" s="182" t="s">
        <v>677</v>
      </c>
      <c r="G33" s="182" t="s">
        <v>13177</v>
      </c>
      <c r="H33" s="183">
        <v>0</v>
      </c>
      <c r="I33" s="184" t="s">
        <v>1574</v>
      </c>
      <c r="J33" s="184" t="s">
        <v>1547</v>
      </c>
      <c r="K33" s="224"/>
      <c r="L33" s="224"/>
      <c r="M33" s="224"/>
      <c r="N33" s="224"/>
      <c r="O33" s="224"/>
      <c r="P33" s="185"/>
      <c r="Q33" s="225"/>
      <c r="R33" s="182" t="str">
        <f ca="1">IF(ISERROR($V33),"",OFFSET('Smelter Look-up'!$C$4,$V33-4,0)&amp;"")</f>
        <v>Kojima Chemicals Co., Ltd.</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147</v>
      </c>
      <c r="X33" s="227">
        <f t="shared" si="3"/>
        <v>0</v>
      </c>
      <c r="AB33" s="228" t="str">
        <f t="shared" si="4"/>
        <v>GoldKojima Chemicals Co., Ltd.</v>
      </c>
    </row>
    <row r="34" spans="1:28" s="227" customFormat="1" ht="38.25">
      <c r="A34" s="181" t="s">
        <v>681</v>
      </c>
      <c r="B34" s="182" t="s">
        <v>1098</v>
      </c>
      <c r="C34" s="186" t="s">
        <v>15610</v>
      </c>
      <c r="D34" s="230"/>
      <c r="E34" s="182" t="s">
        <v>1080</v>
      </c>
      <c r="F34" s="182" t="s">
        <v>681</v>
      </c>
      <c r="G34" s="182" t="s">
        <v>13177</v>
      </c>
      <c r="H34" s="183">
        <v>0</v>
      </c>
      <c r="I34" s="184" t="s">
        <v>1579</v>
      </c>
      <c r="J34" s="184" t="s">
        <v>12814</v>
      </c>
      <c r="K34" s="224"/>
      <c r="L34" s="224"/>
      <c r="M34" s="224"/>
      <c r="N34" s="224"/>
      <c r="O34" s="224"/>
      <c r="P34" s="185"/>
      <c r="Q34" s="225"/>
      <c r="R34" s="182" t="str">
        <f ca="1">IF(ISERROR($V34),"",OFFSET('Smelter Look-up'!$C$4,$V34-4,0)&amp;"")</f>
        <v>LS MnM Inc.</v>
      </c>
      <c r="S34" s="181" t="str">
        <f t="shared" ca="1" si="2"/>
        <v>KR</v>
      </c>
      <c r="T34" s="181" t="str">
        <f ca="1">IF(B34="","",IF(ISERROR(MATCH($J34,SorP!$B$1:$B$6226,0)),"",INDIRECT("'SorP'!$A$"&amp;MATCH($S34&amp;$J34,SorP!C:C,0))))</f>
        <v>KR-31</v>
      </c>
      <c r="U34" s="201"/>
      <c r="V34" s="226">
        <f>IF(C34="",NA(),IF(OR(C34="Smelter not listed",C34="Smelter not yet identified"),MATCH($B34&amp;$D34,'Smelter Look-up'!$J:$J,0),MATCH($B34&amp;$C34,'Smelter Look-up'!$J:$J,0)))</f>
        <v>163</v>
      </c>
      <c r="X34" s="227">
        <f t="shared" si="3"/>
        <v>0</v>
      </c>
      <c r="AB34" s="228" t="str">
        <f t="shared" si="4"/>
        <v>GoldLS MnM Inc.</v>
      </c>
    </row>
    <row r="35" spans="1:28" s="227" customFormat="1" ht="25.5">
      <c r="A35" s="181" t="s">
        <v>684</v>
      </c>
      <c r="B35" s="182" t="s">
        <v>1098</v>
      </c>
      <c r="C35" s="186" t="s">
        <v>881</v>
      </c>
      <c r="D35" s="230"/>
      <c r="E35" s="182" t="s">
        <v>2384</v>
      </c>
      <c r="F35" s="182" t="s">
        <v>684</v>
      </c>
      <c r="G35" s="182" t="s">
        <v>13177</v>
      </c>
      <c r="H35" s="183">
        <v>0</v>
      </c>
      <c r="I35" s="184" t="s">
        <v>1582</v>
      </c>
      <c r="J35" s="184" t="s">
        <v>1583</v>
      </c>
      <c r="K35" s="224"/>
      <c r="L35" s="224"/>
      <c r="M35" s="224"/>
      <c r="N35" s="224"/>
      <c r="O35" s="224"/>
      <c r="P35" s="185"/>
      <c r="Q35" s="225"/>
      <c r="R35" s="182" t="str">
        <f ca="1">IF(ISERROR($V35),"",OFFSET('Smelter Look-up'!$C$4,$V35-4,0)&amp;"")</f>
        <v>Materion</v>
      </c>
      <c r="S35" s="181" t="str">
        <f t="shared" ca="1" si="2"/>
        <v>US</v>
      </c>
      <c r="T35" s="181" t="str">
        <f ca="1">IF(B35="","",IF(ISERROR(MATCH($J35,SorP!$B$1:$B$6226,0)),"",INDIRECT("'SorP'!$A$"&amp;MATCH($S35&amp;$J35,SorP!C:C,0))))</f>
        <v>US-NY</v>
      </c>
      <c r="U35" s="201"/>
      <c r="V35" s="226">
        <f>IF(C35="",NA(),IF(OR(C35="Smelter not listed",C35="Smelter not yet identified"),MATCH($B35&amp;$D35,'Smelter Look-up'!$J:$J,0),MATCH($B35&amp;$C35,'Smelter Look-up'!$J:$J,0)))</f>
        <v>169</v>
      </c>
      <c r="X35" s="227">
        <f t="shared" si="3"/>
        <v>0</v>
      </c>
      <c r="AB35" s="228" t="str">
        <f t="shared" si="4"/>
        <v>GoldMaterion</v>
      </c>
    </row>
    <row r="36" spans="1:28" s="227" customFormat="1" ht="63.75">
      <c r="A36" s="181" t="s">
        <v>685</v>
      </c>
      <c r="B36" s="182" t="s">
        <v>1098</v>
      </c>
      <c r="C36" s="186" t="s">
        <v>53</v>
      </c>
      <c r="D36" s="230"/>
      <c r="E36" s="182" t="s">
        <v>1077</v>
      </c>
      <c r="F36" s="182" t="s">
        <v>685</v>
      </c>
      <c r="G36" s="182" t="s">
        <v>13177</v>
      </c>
      <c r="H36" s="183">
        <v>0</v>
      </c>
      <c r="I36" s="184" t="s">
        <v>1584</v>
      </c>
      <c r="J36" s="184" t="s">
        <v>1547</v>
      </c>
      <c r="K36" s="224"/>
      <c r="L36" s="224"/>
      <c r="M36" s="224"/>
      <c r="N36" s="224"/>
      <c r="O36" s="224"/>
      <c r="P36" s="185"/>
      <c r="Q36" s="225"/>
      <c r="R36" s="182" t="str">
        <f ca="1">IF(ISERROR($V36),"",OFFSET('Smelter Look-up'!$C$4,$V36-4,0)&amp;"")</f>
        <v>Matsuda Sangyo Co., Ltd.</v>
      </c>
      <c r="S36" s="181" t="str">
        <f t="shared" ca="1" si="2"/>
        <v>JP</v>
      </c>
      <c r="T36" s="181" t="str">
        <f ca="1">IF(B36="","",IF(ISERROR(MATCH($J36,SorP!$B$1:$B$6226,0)),"",INDIRECT("'SorP'!$A$"&amp;MATCH($S36&amp;$J36,SorP!C:C,0))))</f>
        <v>JP-11</v>
      </c>
      <c r="U36" s="201"/>
      <c r="V36" s="226">
        <f>IF(C36="",NA(),IF(OR(C36="Smelter not listed",C36="Smelter not yet identified"),MATCH($B36&amp;$D36,'Smelter Look-up'!$J:$J,0),MATCH($B36&amp;$C36,'Smelter Look-up'!$J:$J,0)))</f>
        <v>170</v>
      </c>
      <c r="X36" s="227">
        <f t="shared" si="3"/>
        <v>0</v>
      </c>
      <c r="AB36" s="228" t="str">
        <f t="shared" si="4"/>
        <v>GoldMatsuda Sangyo Co., Ltd.</v>
      </c>
    </row>
    <row r="37" spans="1:28" s="227" customFormat="1" ht="76.5">
      <c r="A37" s="181" t="s">
        <v>1586</v>
      </c>
      <c r="B37" s="182" t="s">
        <v>1098</v>
      </c>
      <c r="C37" s="186" t="s">
        <v>1585</v>
      </c>
      <c r="D37" s="230"/>
      <c r="E37" s="182" t="s">
        <v>1069</v>
      </c>
      <c r="F37" s="182" t="s">
        <v>1586</v>
      </c>
      <c r="G37" s="182" t="s">
        <v>13177</v>
      </c>
      <c r="H37" s="183">
        <v>0</v>
      </c>
      <c r="I37" s="184" t="s">
        <v>2464</v>
      </c>
      <c r="J37" s="184" t="s">
        <v>13544</v>
      </c>
      <c r="K37" s="224"/>
      <c r="L37" s="224"/>
      <c r="M37" s="224"/>
      <c r="N37" s="224"/>
      <c r="O37" s="224"/>
      <c r="P37" s="185"/>
      <c r="Q37" s="225"/>
      <c r="R37" s="182" t="str">
        <f ca="1">IF(ISERROR($V37),"",OFFSET('Smelter Look-up'!$C$4,$V37-4,0)&amp;"")</f>
        <v>Metalor Technologies (Suzhou) Ltd.</v>
      </c>
      <c r="S37" s="181" t="str">
        <f t="shared" ca="1" si="2"/>
        <v>CN</v>
      </c>
      <c r="T37" s="181" t="str">
        <f ca="1">IF(B37="","",IF(ISERROR(MATCH($J37,SorP!$B$1:$B$6226,0)),"",INDIRECT("'SorP'!$A$"&amp;MATCH($S37&amp;$J37,SorP!C:C,0))))</f>
        <v>CN-JS</v>
      </c>
      <c r="U37" s="201"/>
      <c r="V37" s="226">
        <f>IF(C37="",NA(),IF(OR(C37="Smelter not listed",C37="Smelter not yet identified"),MATCH($B37&amp;$D37,'Smelter Look-up'!$J:$J,0),MATCH($B37&amp;$C37,'Smelter Look-up'!$J:$J,0)))</f>
        <v>180</v>
      </c>
      <c r="X37" s="227">
        <f t="shared" si="3"/>
        <v>0</v>
      </c>
      <c r="AB37" s="228" t="str">
        <f t="shared" si="4"/>
        <v>GoldMetalor Technologies (Suzhou) Ltd.</v>
      </c>
    </row>
    <row r="38" spans="1:28" s="227" customFormat="1" ht="89.25">
      <c r="A38" s="181" t="s">
        <v>686</v>
      </c>
      <c r="B38" s="182" t="s">
        <v>1098</v>
      </c>
      <c r="C38" s="186" t="s">
        <v>2105</v>
      </c>
      <c r="D38" s="230"/>
      <c r="E38" s="182" t="s">
        <v>1069</v>
      </c>
      <c r="F38" s="182" t="s">
        <v>686</v>
      </c>
      <c r="G38" s="182" t="s">
        <v>13177</v>
      </c>
      <c r="H38" s="183">
        <v>0</v>
      </c>
      <c r="I38" s="184" t="s">
        <v>1587</v>
      </c>
      <c r="J38" s="184" t="s">
        <v>15604</v>
      </c>
      <c r="K38" s="224"/>
      <c r="L38" s="224"/>
      <c r="M38" s="224"/>
      <c r="N38" s="224"/>
      <c r="O38" s="224"/>
      <c r="P38" s="185"/>
      <c r="Q38" s="225"/>
      <c r="R38" s="182" t="str">
        <f ca="1">IF(ISERROR($V38),"",OFFSET('Smelter Look-up'!$C$4,$V38-4,0)&amp;"")</f>
        <v>Metalor Technologies (Hong Kong) Ltd.</v>
      </c>
      <c r="S38" s="181" t="str">
        <f t="shared" ref="S38:S67" ca="1" si="5">IF(B38="","",IF(ISERROR(MATCH($E38,CL,0)),"Unknown",INDIRECT("'C'!$A$"&amp;MATCH($E38,CL,0)+1)))</f>
        <v>CN</v>
      </c>
      <c r="T38" s="181" t="str">
        <f ca="1">IF(B38="","",IF(ISERROR(MATCH($J38,SorP!$B$1:$B$6226,0)),"",INDIRECT("'SorP'!$A$"&amp;MATCH($S38&amp;$J38,SorP!C:C,0))))</f>
        <v>CN-HK</v>
      </c>
      <c r="U38" s="201"/>
      <c r="V38" s="226">
        <f>IF(C38="",NA(),IF(OR(C38="Smelter not listed",C38="Smelter not yet identified"),MATCH($B38&amp;$D38,'Smelter Look-up'!$J:$J,0),MATCH($B38&amp;$C38,'Smelter Look-up'!$J:$J,0)))</f>
        <v>178</v>
      </c>
      <c r="X38" s="227">
        <f t="shared" ref="X38:X67" si="6">IF(AND(C38="Smelter not listed",OR(LEN(D38)=0,LEN(E38)=0)),1,0)</f>
        <v>0</v>
      </c>
      <c r="AB38" s="228" t="str">
        <f t="shared" ref="AB38:AB67" si="7">B38&amp;C38</f>
        <v>GoldMetalor Technologies (Hong Kong) Ltd.</v>
      </c>
    </row>
    <row r="39" spans="1:28" s="227" customFormat="1" ht="102">
      <c r="A39" s="181" t="s">
        <v>687</v>
      </c>
      <c r="B39" s="182" t="s">
        <v>1098</v>
      </c>
      <c r="C39" s="186" t="s">
        <v>2106</v>
      </c>
      <c r="D39" s="230"/>
      <c r="E39" s="182" t="s">
        <v>857</v>
      </c>
      <c r="F39" s="182" t="s">
        <v>687</v>
      </c>
      <c r="G39" s="182" t="s">
        <v>13177</v>
      </c>
      <c r="H39" s="183">
        <v>0</v>
      </c>
      <c r="I39" s="184" t="s">
        <v>12670</v>
      </c>
      <c r="J39" s="184" t="s">
        <v>10242</v>
      </c>
      <c r="K39" s="224"/>
      <c r="L39" s="224"/>
      <c r="M39" s="224"/>
      <c r="N39" s="224"/>
      <c r="O39" s="224"/>
      <c r="P39" s="185"/>
      <c r="Q39" s="225"/>
      <c r="R39" s="182" t="str">
        <f ca="1">IF(ISERROR($V39),"",OFFSET('Smelter Look-up'!$C$4,$V39-4,0)&amp;"")</f>
        <v>Metalor Technologies (Singapore) Pte., Ltd.</v>
      </c>
      <c r="S39" s="181" t="str">
        <f t="shared" ca="1" si="5"/>
        <v>SG</v>
      </c>
      <c r="T39" s="181" t="str">
        <f ca="1">IF(B39="","",IF(ISERROR(MATCH($J39,SorP!$B$1:$B$6226,0)),"",INDIRECT("'SorP'!$A$"&amp;MATCH($S39&amp;$J39,SorP!C:C,0))))</f>
        <v>SG-05</v>
      </c>
      <c r="U39" s="201"/>
      <c r="V39" s="226">
        <f>IF(C39="",NA(),IF(OR(C39="Smelter not listed",C39="Smelter not yet identified"),MATCH($B39&amp;$D39,'Smelter Look-up'!$J:$J,0),MATCH($B39&amp;$C39,'Smelter Look-up'!$J:$J,0)))</f>
        <v>179</v>
      </c>
      <c r="X39" s="227">
        <f t="shared" si="6"/>
        <v>0</v>
      </c>
      <c r="AB39" s="228" t="str">
        <f t="shared" si="7"/>
        <v>GoldMetalor Technologies (Singapore) Pte., Ltd.</v>
      </c>
    </row>
    <row r="40" spans="1:28" s="227" customFormat="1" ht="63.75">
      <c r="A40" s="181" t="s">
        <v>688</v>
      </c>
      <c r="B40" s="182" t="s">
        <v>1098</v>
      </c>
      <c r="C40" s="186" t="s">
        <v>2257</v>
      </c>
      <c r="D40" s="230"/>
      <c r="E40" s="182" t="s">
        <v>1067</v>
      </c>
      <c r="F40" s="182" t="s">
        <v>688</v>
      </c>
      <c r="G40" s="182" t="s">
        <v>13177</v>
      </c>
      <c r="H40" s="183">
        <v>0</v>
      </c>
      <c r="I40" s="184" t="s">
        <v>1588</v>
      </c>
      <c r="J40" s="184" t="s">
        <v>1589</v>
      </c>
      <c r="K40" s="224"/>
      <c r="L40" s="224"/>
      <c r="M40" s="224"/>
      <c r="N40" s="224"/>
      <c r="O40" s="224"/>
      <c r="P40" s="185"/>
      <c r="Q40" s="225"/>
      <c r="R40" s="182" t="str">
        <f ca="1">IF(ISERROR($V40),"",OFFSET('Smelter Look-up'!$C$4,$V40-4,0)&amp;"")</f>
        <v>Metalor Technologies S.A.</v>
      </c>
      <c r="S40" s="181" t="str">
        <f t="shared" ca="1" si="5"/>
        <v>CH</v>
      </c>
      <c r="T40" s="181" t="str">
        <f ca="1">IF(B40="","",IF(ISERROR(MATCH($J40,SorP!$B$1:$B$6226,0)),"",INDIRECT("'SorP'!$A$"&amp;MATCH($S40&amp;$J40,SorP!C:C,0))))</f>
        <v>CH-NE</v>
      </c>
      <c r="U40" s="201"/>
      <c r="V40" s="226">
        <f>IF(C40="",NA(),IF(OR(C40="Smelter not listed",C40="Smelter not yet identified"),MATCH($B40&amp;$D40,'Smelter Look-up'!$J:$J,0),MATCH($B40&amp;$C40,'Smelter Look-up'!$J:$J,0)))</f>
        <v>181</v>
      </c>
      <c r="X40" s="227">
        <f t="shared" si="6"/>
        <v>0</v>
      </c>
      <c r="AB40" s="228" t="str">
        <f t="shared" si="7"/>
        <v>GoldMetalor Technologies S.A.</v>
      </c>
    </row>
    <row r="41" spans="1:28" s="227" customFormat="1" ht="76.5">
      <c r="A41" s="181" t="s">
        <v>689</v>
      </c>
      <c r="B41" s="182" t="s">
        <v>1098</v>
      </c>
      <c r="C41" s="186" t="s">
        <v>1195</v>
      </c>
      <c r="D41" s="230"/>
      <c r="E41" s="182" t="s">
        <v>2384</v>
      </c>
      <c r="F41" s="182" t="s">
        <v>689</v>
      </c>
      <c r="G41" s="182" t="s">
        <v>13177</v>
      </c>
      <c r="H41" s="183">
        <v>0</v>
      </c>
      <c r="I41" s="184" t="s">
        <v>1590</v>
      </c>
      <c r="J41" s="184" t="s">
        <v>1591</v>
      </c>
      <c r="K41" s="224"/>
      <c r="L41" s="224"/>
      <c r="M41" s="224"/>
      <c r="N41" s="224"/>
      <c r="O41" s="224"/>
      <c r="P41" s="185"/>
      <c r="Q41" s="225"/>
      <c r="R41" s="182" t="str">
        <f ca="1">IF(ISERROR($V41),"",OFFSET('Smelter Look-up'!$C$4,$V41-4,0)&amp;"")</f>
        <v>Metalor USA Refining Corporation</v>
      </c>
      <c r="S41" s="181" t="str">
        <f t="shared" ca="1" si="5"/>
        <v>US</v>
      </c>
      <c r="T41" s="181" t="str">
        <f ca="1">IF(B41="","",IF(ISERROR(MATCH($J41,SorP!$B$1:$B$6226,0)),"",INDIRECT("'SorP'!$A$"&amp;MATCH($S41&amp;$J41,SorP!C:C,0))))</f>
        <v>US-MA</v>
      </c>
      <c r="U41" s="201"/>
      <c r="V41" s="226">
        <f>IF(C41="",NA(),IF(OR(C41="Smelter not listed",C41="Smelter not yet identified"),MATCH($B41&amp;$D41,'Smelter Look-up'!$J:$J,0),MATCH($B41&amp;$C41,'Smelter Look-up'!$J:$J,0)))</f>
        <v>182</v>
      </c>
      <c r="X41" s="227">
        <f t="shared" si="6"/>
        <v>0</v>
      </c>
      <c r="AB41" s="228" t="str">
        <f t="shared" si="7"/>
        <v>GoldMetalor USA Refining Corporation</v>
      </c>
    </row>
    <row r="42" spans="1:28" s="227" customFormat="1" ht="89.25">
      <c r="A42" s="181" t="s">
        <v>690</v>
      </c>
      <c r="B42" s="182" t="s">
        <v>1098</v>
      </c>
      <c r="C42" s="186" t="s">
        <v>12376</v>
      </c>
      <c r="D42" s="230"/>
      <c r="E42" s="182" t="s">
        <v>1082</v>
      </c>
      <c r="F42" s="182" t="s">
        <v>690</v>
      </c>
      <c r="G42" s="182" t="s">
        <v>13177</v>
      </c>
      <c r="H42" s="183">
        <v>0</v>
      </c>
      <c r="I42" s="184" t="s">
        <v>1592</v>
      </c>
      <c r="J42" s="184" t="s">
        <v>12832</v>
      </c>
      <c r="K42" s="224"/>
      <c r="L42" s="224"/>
      <c r="M42" s="224"/>
      <c r="N42" s="224"/>
      <c r="O42" s="224"/>
      <c r="P42" s="185"/>
      <c r="Q42" s="225"/>
      <c r="R42" s="182" t="str">
        <f ca="1">IF(ISERROR($V42),"",OFFSET('Smelter Look-up'!$C$4,$V42-4,0)&amp;"")</f>
        <v>Metalurgica Met-Mex Penoles S.A. De C.V.</v>
      </c>
      <c r="S42" s="181" t="str">
        <f t="shared" ca="1" si="5"/>
        <v>MX</v>
      </c>
      <c r="T42" s="181" t="str">
        <f ca="1">IF(B42="","",IF(ISERROR(MATCH($J42,SorP!$B$1:$B$6226,0)),"",INDIRECT("'SorP'!$A$"&amp;MATCH($S42&amp;$J42,SorP!C:C,0))))</f>
        <v>MX-COA</v>
      </c>
      <c r="U42" s="201"/>
      <c r="V42" s="226">
        <f>IF(C42="",NA(),IF(OR(C42="Smelter not listed",C42="Smelter not yet identified"),MATCH($B42&amp;$D42,'Smelter Look-up'!$J:$J,0),MATCH($B42&amp;$C42,'Smelter Look-up'!$J:$J,0)))</f>
        <v>183</v>
      </c>
      <c r="X42" s="227">
        <f t="shared" si="6"/>
        <v>0</v>
      </c>
      <c r="AB42" s="228" t="str">
        <f t="shared" si="7"/>
        <v>GoldMetalurgica Met-Mex Penoles S.A. De C.V.</v>
      </c>
    </row>
    <row r="43" spans="1:28" s="227" customFormat="1" ht="76.5">
      <c r="A43" s="181" t="s">
        <v>691</v>
      </c>
      <c r="B43" s="182" t="s">
        <v>1098</v>
      </c>
      <c r="C43" s="186" t="s">
        <v>1131</v>
      </c>
      <c r="D43" s="230"/>
      <c r="E43" s="182" t="s">
        <v>1077</v>
      </c>
      <c r="F43" s="182" t="s">
        <v>691</v>
      </c>
      <c r="G43" s="182" t="s">
        <v>13177</v>
      </c>
      <c r="H43" s="183">
        <v>0</v>
      </c>
      <c r="I43" s="184" t="s">
        <v>1509</v>
      </c>
      <c r="J43" s="184" t="s">
        <v>1509</v>
      </c>
      <c r="K43" s="224"/>
      <c r="L43" s="224"/>
      <c r="M43" s="224"/>
      <c r="N43" s="224"/>
      <c r="O43" s="224"/>
      <c r="P43" s="185"/>
      <c r="Q43" s="225"/>
      <c r="R43" s="182" t="str">
        <f ca="1">IF(ISERROR($V43),"",OFFSET('Smelter Look-up'!$C$4,$V43-4,0)&amp;"")</f>
        <v>Mitsubishi Materials Corporation</v>
      </c>
      <c r="S43" s="181" t="str">
        <f t="shared" ca="1" si="5"/>
        <v>JP</v>
      </c>
      <c r="T43" s="181" t="str">
        <f ca="1">IF(B43="","",IF(ISERROR(MATCH($J43,SorP!$B$1:$B$6226,0)),"",INDIRECT("'SorP'!$A$"&amp;MATCH($S43&amp;$J43,SorP!C:C,0))))</f>
        <v>JP-13</v>
      </c>
      <c r="U43" s="201"/>
      <c r="V43" s="226">
        <f>IF(C43="",NA(),IF(OR(C43="Smelter not listed",C43="Smelter not yet identified"),MATCH($B43&amp;$D43,'Smelter Look-up'!$J:$J,0),MATCH($B43&amp;$C43,'Smelter Look-up'!$J:$J,0)))</f>
        <v>189</v>
      </c>
      <c r="X43" s="227">
        <f t="shared" si="6"/>
        <v>0</v>
      </c>
      <c r="AB43" s="228" t="str">
        <f t="shared" si="7"/>
        <v>GoldMitsubishi Materials Corporation</v>
      </c>
    </row>
    <row r="44" spans="1:28" s="227" customFormat="1" ht="89.25">
      <c r="A44" s="181" t="s">
        <v>692</v>
      </c>
      <c r="B44" s="182" t="s">
        <v>1098</v>
      </c>
      <c r="C44" s="186" t="s">
        <v>1196</v>
      </c>
      <c r="D44" s="230"/>
      <c r="E44" s="182" t="s">
        <v>1077</v>
      </c>
      <c r="F44" s="182" t="s">
        <v>692</v>
      </c>
      <c r="G44" s="182" t="s">
        <v>13177</v>
      </c>
      <c r="H44" s="183">
        <v>0</v>
      </c>
      <c r="I44" s="184" t="s">
        <v>1594</v>
      </c>
      <c r="J44" s="184" t="s">
        <v>1593</v>
      </c>
      <c r="K44" s="224"/>
      <c r="L44" s="224"/>
      <c r="M44" s="224"/>
      <c r="N44" s="224"/>
      <c r="O44" s="224"/>
      <c r="P44" s="185"/>
      <c r="Q44" s="225"/>
      <c r="R44" s="182" t="str">
        <f ca="1">IF(ISERROR($V44),"",OFFSET('Smelter Look-up'!$C$4,$V44-4,0)&amp;"")</f>
        <v>Mitsui Mining and Smelting Co., Ltd.</v>
      </c>
      <c r="S44" s="181" t="str">
        <f t="shared" ca="1" si="5"/>
        <v>JP</v>
      </c>
      <c r="T44" s="181" t="str">
        <f ca="1">IF(B44="","",IF(ISERROR(MATCH($J44,SorP!$B$1:$B$6226,0)),"",INDIRECT("'SorP'!$A$"&amp;MATCH($S44&amp;$J44,SorP!C:C,0))))</f>
        <v>JP-34</v>
      </c>
      <c r="U44" s="201"/>
      <c r="V44" s="226">
        <f>IF(C44="",NA(),IF(OR(C44="Smelter not listed",C44="Smelter not yet identified"),MATCH($B44&amp;$D44,'Smelter Look-up'!$J:$J,0),MATCH($B44&amp;$C44,'Smelter Look-up'!$J:$J,0)))</f>
        <v>191</v>
      </c>
      <c r="X44" s="227">
        <f t="shared" si="6"/>
        <v>0</v>
      </c>
      <c r="AB44" s="228" t="str">
        <f t="shared" si="7"/>
        <v>GoldMitsui Mining and Smelting Co., Ltd.</v>
      </c>
    </row>
    <row r="45" spans="1:28" s="227" customFormat="1" ht="63.75">
      <c r="A45" s="181" t="s">
        <v>696</v>
      </c>
      <c r="B45" s="182" t="s">
        <v>1098</v>
      </c>
      <c r="C45" s="186" t="s">
        <v>2109</v>
      </c>
      <c r="D45" s="230"/>
      <c r="E45" s="182" t="s">
        <v>1077</v>
      </c>
      <c r="F45" s="182" t="s">
        <v>696</v>
      </c>
      <c r="G45" s="182" t="s">
        <v>13177</v>
      </c>
      <c r="H45" s="183">
        <v>0</v>
      </c>
      <c r="I45" s="184" t="s">
        <v>1599</v>
      </c>
      <c r="J45" s="184" t="s">
        <v>1600</v>
      </c>
      <c r="K45" s="224"/>
      <c r="L45" s="224"/>
      <c r="M45" s="224"/>
      <c r="N45" s="224"/>
      <c r="O45" s="224"/>
      <c r="P45" s="185"/>
      <c r="Q45" s="225"/>
      <c r="R45" s="182" t="str">
        <f ca="1">IF(ISERROR($V45),"",OFFSET('Smelter Look-up'!$C$4,$V45-4,0)&amp;"")</f>
        <v>Nihon Material Co., Ltd.</v>
      </c>
      <c r="S45" s="181" t="str">
        <f t="shared" ca="1" si="5"/>
        <v>JP</v>
      </c>
      <c r="T45" s="181" t="str">
        <f ca="1">IF(B45="","",IF(ISERROR(MATCH($J45,SorP!$B$1:$B$6226,0)),"",INDIRECT("'SorP'!$A$"&amp;MATCH($S45&amp;$J45,SorP!C:C,0))))</f>
        <v>JP-12</v>
      </c>
      <c r="U45" s="201"/>
      <c r="V45" s="226">
        <f>IF(C45="",NA(),IF(OR(C45="Smelter not listed",C45="Smelter not yet identified"),MATCH($B45&amp;$D45,'Smelter Look-up'!$J:$J,0),MATCH($B45&amp;$C45,'Smelter Look-up'!$J:$J,0)))</f>
        <v>201</v>
      </c>
      <c r="X45" s="227">
        <f t="shared" si="6"/>
        <v>0</v>
      </c>
      <c r="AB45" s="228" t="str">
        <f t="shared" si="7"/>
        <v>GoldNihon Material Co., Ltd.</v>
      </c>
    </row>
    <row r="46" spans="1:28" s="227" customFormat="1" ht="38.25">
      <c r="A46" s="181" t="s">
        <v>699</v>
      </c>
      <c r="B46" s="182" t="s">
        <v>1098</v>
      </c>
      <c r="C46" s="186" t="s">
        <v>15334</v>
      </c>
      <c r="D46" s="230"/>
      <c r="E46" s="182" t="s">
        <v>1067</v>
      </c>
      <c r="F46" s="182" t="s">
        <v>699</v>
      </c>
      <c r="G46" s="182" t="s">
        <v>13177</v>
      </c>
      <c r="H46" s="183">
        <v>0</v>
      </c>
      <c r="I46" s="184" t="s">
        <v>15337</v>
      </c>
      <c r="J46" s="184" t="s">
        <v>3741</v>
      </c>
      <c r="K46" s="224"/>
      <c r="L46" s="224"/>
      <c r="M46" s="224"/>
      <c r="N46" s="224"/>
      <c r="O46" s="224"/>
      <c r="P46" s="185"/>
      <c r="Q46" s="225"/>
      <c r="R46" s="182" t="str">
        <f ca="1">IF(ISERROR($V46),"",OFFSET('Smelter Look-up'!$C$4,$V46-4,0)&amp;"")</f>
        <v>MKS PAMP SA</v>
      </c>
      <c r="S46" s="181" t="str">
        <f t="shared" ca="1" si="5"/>
        <v>CH</v>
      </c>
      <c r="T46" s="181" t="str">
        <f ca="1">IF(B46="","",IF(ISERROR(MATCH($J46,SorP!$B$1:$B$6226,0)),"",INDIRECT("'SorP'!$A$"&amp;MATCH($S46&amp;$J46,SorP!C:C,0))))</f>
        <v>CH-GE</v>
      </c>
      <c r="U46" s="201"/>
      <c r="V46" s="226">
        <f>IF(C46="",NA(),IF(OR(C46="Smelter not listed",C46="Smelter not yet identified"),MATCH($B46&amp;$D46,'Smelter Look-up'!$J:$J,0),MATCH($B46&amp;$C46,'Smelter Look-up'!$J:$J,0)))</f>
        <v>192</v>
      </c>
      <c r="X46" s="227">
        <f t="shared" si="6"/>
        <v>0</v>
      </c>
      <c r="AB46" s="228" t="str">
        <f t="shared" si="7"/>
        <v>GoldMKS PAMP SA</v>
      </c>
    </row>
    <row r="47" spans="1:28" s="227" customFormat="1" ht="63.75">
      <c r="A47" s="181" t="s">
        <v>704</v>
      </c>
      <c r="B47" s="182" t="s">
        <v>1098</v>
      </c>
      <c r="C47" s="186" t="s">
        <v>2112</v>
      </c>
      <c r="D47" s="230"/>
      <c r="E47" s="182" t="s">
        <v>864</v>
      </c>
      <c r="F47" s="182" t="s">
        <v>704</v>
      </c>
      <c r="G47" s="182" t="s">
        <v>13177</v>
      </c>
      <c r="H47" s="183">
        <v>0</v>
      </c>
      <c r="I47" s="184" t="s">
        <v>1609</v>
      </c>
      <c r="J47" s="184" t="s">
        <v>1610</v>
      </c>
      <c r="K47" s="224"/>
      <c r="L47" s="224"/>
      <c r="M47" s="224"/>
      <c r="N47" s="224"/>
      <c r="O47" s="224"/>
      <c r="P47" s="185"/>
      <c r="Q47" s="225"/>
      <c r="R47" s="182" t="str">
        <f ca="1">IF(ISERROR($V47),"",OFFSET('Smelter Look-up'!$C$4,$V47-4,0)&amp;"")</f>
        <v>Rand Refinery (Pty) Ltd.</v>
      </c>
      <c r="S47" s="181" t="str">
        <f t="shared" ca="1" si="5"/>
        <v>ZA</v>
      </c>
      <c r="T47" s="181" t="str">
        <f ca="1">IF(B47="","",IF(ISERROR(MATCH($J47,SorP!$B$1:$B$6226,0)),"",INDIRECT("'SorP'!$A$"&amp;MATCH($S47&amp;$J47,SorP!C:C,0))))</f>
        <v>ZA-GP</v>
      </c>
      <c r="U47" s="201"/>
      <c r="V47" s="226">
        <f>IF(C47="",NA(),IF(OR(C47="Smelter not listed",C47="Smelter not yet identified"),MATCH($B47&amp;$D47,'Smelter Look-up'!$J:$J,0),MATCH($B47&amp;$C47,'Smelter Look-up'!$J:$J,0)))</f>
        <v>224</v>
      </c>
      <c r="X47" s="227">
        <f t="shared" si="6"/>
        <v>0</v>
      </c>
      <c r="AB47" s="228" t="str">
        <f t="shared" si="7"/>
        <v>GoldRand Refinery (Pty) Ltd.</v>
      </c>
    </row>
    <row r="48" spans="1:28" s="227" customFormat="1" ht="51">
      <c r="A48" s="181" t="s">
        <v>705</v>
      </c>
      <c r="B48" s="182" t="s">
        <v>1098</v>
      </c>
      <c r="C48" s="186" t="s">
        <v>884</v>
      </c>
      <c r="D48" s="230"/>
      <c r="E48" s="182" t="s">
        <v>1066</v>
      </c>
      <c r="F48" s="182" t="s">
        <v>705</v>
      </c>
      <c r="G48" s="182" t="s">
        <v>13177</v>
      </c>
      <c r="H48" s="183">
        <v>0</v>
      </c>
      <c r="I48" s="184" t="s">
        <v>1611</v>
      </c>
      <c r="J48" s="184" t="s">
        <v>1569</v>
      </c>
      <c r="K48" s="224"/>
      <c r="L48" s="224"/>
      <c r="M48" s="224"/>
      <c r="N48" s="224"/>
      <c r="O48" s="224"/>
      <c r="P48" s="185"/>
      <c r="Q48" s="225"/>
      <c r="R48" s="182" t="str">
        <f ca="1">IF(ISERROR($V48),"",OFFSET('Smelter Look-up'!$C$4,$V48-4,0)&amp;"")</f>
        <v>Royal Canadian Mint</v>
      </c>
      <c r="S48" s="181" t="str">
        <f t="shared" ca="1" si="5"/>
        <v>CA</v>
      </c>
      <c r="T48" s="181" t="str">
        <f ca="1">IF(B48="","",IF(ISERROR(MATCH($J48,SorP!$B$1:$B$6226,0)),"",INDIRECT("'SorP'!$A$"&amp;MATCH($S48&amp;$J48,SorP!C:C,0))))</f>
        <v>CA-ON</v>
      </c>
      <c r="U48" s="201"/>
      <c r="V48" s="226">
        <f>IF(C48="",NA(),IF(OR(C48="Smelter not listed",C48="Smelter not yet identified"),MATCH($B48&amp;$D48,'Smelter Look-up'!$J:$J,0),MATCH($B48&amp;$C48,'Smelter Look-up'!$J:$J,0)))</f>
        <v>229</v>
      </c>
      <c r="X48" s="227">
        <f t="shared" si="6"/>
        <v>0</v>
      </c>
      <c r="AB48" s="228" t="str">
        <f t="shared" si="7"/>
        <v>GoldRoyal Canadian Mint</v>
      </c>
    </row>
    <row r="49" spans="1:28" s="227" customFormat="1" ht="102">
      <c r="A49" s="181" t="s">
        <v>711</v>
      </c>
      <c r="B49" s="182" t="s">
        <v>1098</v>
      </c>
      <c r="C49" s="186" t="s">
        <v>886</v>
      </c>
      <c r="D49" s="230"/>
      <c r="E49" s="182" t="s">
        <v>2383</v>
      </c>
      <c r="F49" s="182" t="s">
        <v>711</v>
      </c>
      <c r="G49" s="182" t="s">
        <v>13177</v>
      </c>
      <c r="H49" s="183">
        <v>0</v>
      </c>
      <c r="I49" s="184" t="s">
        <v>1627</v>
      </c>
      <c r="J49" s="184" t="s">
        <v>11458</v>
      </c>
      <c r="K49" s="224"/>
      <c r="L49" s="224"/>
      <c r="M49" s="224"/>
      <c r="N49" s="224"/>
      <c r="O49" s="224"/>
      <c r="P49" s="185"/>
      <c r="Q49" s="225"/>
      <c r="R49" s="182" t="str">
        <f ca="1">IF(ISERROR($V49),"",OFFSET('Smelter Look-up'!$C$4,$V49-4,0)&amp;"")</f>
        <v>Solar Applied Materials Technology Corp.</v>
      </c>
      <c r="S49" s="181" t="str">
        <f t="shared" ca="1" si="5"/>
        <v>TW</v>
      </c>
      <c r="T49" s="181" t="str">
        <f ca="1">IF(B49="","",IF(ISERROR(MATCH($J49,SorP!$B$1:$B$6226,0)),"",INDIRECT("'SorP'!$A$"&amp;MATCH($S49&amp;$J49,SorP!C:C,0))))</f>
        <v>TW-TNN</v>
      </c>
      <c r="U49" s="201"/>
      <c r="V49" s="226">
        <f>IF(C49="",NA(),IF(OR(C49="Smelter not listed",C49="Smelter not yet identified"),MATCH($B49&amp;$D49,'Smelter Look-up'!$J:$J,0),MATCH($B49&amp;$C49,'Smelter Look-up'!$J:$J,0)))</f>
        <v>267</v>
      </c>
      <c r="X49" s="227">
        <f t="shared" si="6"/>
        <v>0</v>
      </c>
      <c r="AB49" s="228" t="str">
        <f t="shared" si="7"/>
        <v>GoldSolar Applied Materials Technology Corp.</v>
      </c>
    </row>
    <row r="50" spans="1:28" s="227" customFormat="1" ht="76.5">
      <c r="A50" s="181" t="s">
        <v>712</v>
      </c>
      <c r="B50" s="182" t="s">
        <v>1098</v>
      </c>
      <c r="C50" s="186" t="s">
        <v>54</v>
      </c>
      <c r="D50" s="230"/>
      <c r="E50" s="182" t="s">
        <v>1077</v>
      </c>
      <c r="F50" s="182" t="s">
        <v>712</v>
      </c>
      <c r="G50" s="182" t="s">
        <v>13177</v>
      </c>
      <c r="H50" s="183">
        <v>0</v>
      </c>
      <c r="I50" s="184" t="s">
        <v>1628</v>
      </c>
      <c r="J50" s="184" t="s">
        <v>2165</v>
      </c>
      <c r="K50" s="224"/>
      <c r="L50" s="224"/>
      <c r="M50" s="224"/>
      <c r="N50" s="224"/>
      <c r="O50" s="224"/>
      <c r="P50" s="185"/>
      <c r="Q50" s="225"/>
      <c r="R50" s="182" t="str">
        <f ca="1">IF(ISERROR($V50),"",OFFSET('Smelter Look-up'!$C$4,$V50-4,0)&amp;"")</f>
        <v>Sumitomo Metal Mining Co., Ltd.</v>
      </c>
      <c r="S50" s="181" t="str">
        <f t="shared" ca="1" si="5"/>
        <v>JP</v>
      </c>
      <c r="T50" s="181" t="str">
        <f ca="1">IF(B50="","",IF(ISERROR(MATCH($J50,SorP!$B$1:$B$6226,0)),"",INDIRECT("'SorP'!$A$"&amp;MATCH($S50&amp;$J50,SorP!C:C,0))))</f>
        <v>JP-38</v>
      </c>
      <c r="U50" s="201"/>
      <c r="V50" s="226">
        <f>IF(C50="",NA(),IF(OR(C50="Smelter not listed",C50="Smelter not yet identified"),MATCH($B50&amp;$D50,'Smelter Look-up'!$J:$J,0),MATCH($B50&amp;$C50,'Smelter Look-up'!$J:$J,0)))</f>
        <v>274</v>
      </c>
      <c r="X50" s="227">
        <f t="shared" si="6"/>
        <v>0</v>
      </c>
      <c r="AB50" s="228" t="str">
        <f t="shared" si="7"/>
        <v>GoldSumitomo Metal Mining Co., Ltd.</v>
      </c>
    </row>
    <row r="51" spans="1:28" s="227" customFormat="1" ht="76.5">
      <c r="A51" s="181" t="s">
        <v>713</v>
      </c>
      <c r="B51" s="182" t="s">
        <v>1098</v>
      </c>
      <c r="C51" s="186" t="s">
        <v>1199</v>
      </c>
      <c r="D51" s="230"/>
      <c r="E51" s="182" t="s">
        <v>1077</v>
      </c>
      <c r="F51" s="182" t="s">
        <v>713</v>
      </c>
      <c r="G51" s="182" t="s">
        <v>13177</v>
      </c>
      <c r="H51" s="183">
        <v>0</v>
      </c>
      <c r="I51" s="184" t="s">
        <v>1629</v>
      </c>
      <c r="J51" s="184" t="s">
        <v>1630</v>
      </c>
      <c r="K51" s="224"/>
      <c r="L51" s="224"/>
      <c r="M51" s="224"/>
      <c r="N51" s="224"/>
      <c r="O51" s="224"/>
      <c r="P51" s="185"/>
      <c r="Q51" s="225"/>
      <c r="R51" s="182" t="str">
        <f ca="1">IF(ISERROR($V51),"",OFFSET('Smelter Look-up'!$C$4,$V51-4,0)&amp;"")</f>
        <v>Tanaka Kikinzoku Kogyo K.K.</v>
      </c>
      <c r="S51" s="181" t="str">
        <f t="shared" ca="1" si="5"/>
        <v>JP</v>
      </c>
      <c r="T51" s="181" t="str">
        <f ca="1">IF(B51="","",IF(ISERROR(MATCH($J51,SorP!$B$1:$B$6226,0)),"",INDIRECT("'SorP'!$A$"&amp;MATCH($S51&amp;$J51,SorP!C:C,0))))</f>
        <v>JP-14</v>
      </c>
      <c r="U51" s="201"/>
      <c r="V51" s="226">
        <f>IF(C51="",NA(),IF(OR(C51="Smelter not listed",C51="Smelter not yet identified"),MATCH($B51&amp;$D51,'Smelter Look-up'!$J:$J,0),MATCH($B51&amp;$C51,'Smelter Look-up'!$J:$J,0)))</f>
        <v>287</v>
      </c>
      <c r="X51" s="227">
        <f t="shared" si="6"/>
        <v>0</v>
      </c>
      <c r="AB51" s="228" t="str">
        <f t="shared" si="7"/>
        <v>GoldTanaka Kikinzoku Kogyo K.K.</v>
      </c>
    </row>
    <row r="52" spans="1:28" s="227" customFormat="1" ht="63.75">
      <c r="A52" s="181" t="s">
        <v>716</v>
      </c>
      <c r="B52" s="182" t="s">
        <v>1098</v>
      </c>
      <c r="C52" s="186" t="s">
        <v>2117</v>
      </c>
      <c r="D52" s="230"/>
      <c r="E52" s="182" t="s">
        <v>1077</v>
      </c>
      <c r="F52" s="182" t="s">
        <v>716</v>
      </c>
      <c r="G52" s="182" t="s">
        <v>13177</v>
      </c>
      <c r="H52" s="183">
        <v>0</v>
      </c>
      <c r="I52" s="184" t="s">
        <v>1635</v>
      </c>
      <c r="J52" s="184" t="s">
        <v>1547</v>
      </c>
      <c r="K52" s="224"/>
      <c r="L52" s="224"/>
      <c r="M52" s="224"/>
      <c r="N52" s="224"/>
      <c r="O52" s="224"/>
      <c r="P52" s="185"/>
      <c r="Q52" s="225"/>
      <c r="R52" s="182" t="str">
        <f ca="1">IF(ISERROR($V52),"",OFFSET('Smelter Look-up'!$C$4,$V52-4,0)&amp;"")</f>
        <v>Tokuriki Honten Co., Ltd.</v>
      </c>
      <c r="S52" s="181" t="str">
        <f t="shared" ca="1" si="5"/>
        <v>JP</v>
      </c>
      <c r="T52" s="181" t="str">
        <f ca="1">IF(B52="","",IF(ISERROR(MATCH($J52,SorP!$B$1:$B$6226,0)),"",INDIRECT("'SorP'!$A$"&amp;MATCH($S52&amp;$J52,SorP!C:C,0))))</f>
        <v>JP-11</v>
      </c>
      <c r="U52" s="201"/>
      <c r="V52" s="226">
        <f>IF(C52="",NA(),IF(OR(C52="Smelter not listed",C52="Smelter not yet identified"),MATCH($B52&amp;$D52,'Smelter Look-up'!$J:$J,0),MATCH($B52&amp;$C52,'Smelter Look-up'!$J:$J,0)))</f>
        <v>293</v>
      </c>
      <c r="X52" s="227">
        <f t="shared" si="6"/>
        <v>0</v>
      </c>
      <c r="AB52" s="228" t="str">
        <f t="shared" si="7"/>
        <v>GoldTokuriki Honten Co., Ltd.</v>
      </c>
    </row>
    <row r="53" spans="1:28" s="227" customFormat="1" ht="102">
      <c r="A53" s="181" t="s">
        <v>719</v>
      </c>
      <c r="B53" s="182" t="s">
        <v>1098</v>
      </c>
      <c r="C53" s="186" t="s">
        <v>2283</v>
      </c>
      <c r="D53" s="230"/>
      <c r="E53" s="182" t="s">
        <v>1064</v>
      </c>
      <c r="F53" s="182" t="s">
        <v>719</v>
      </c>
      <c r="G53" s="182" t="s">
        <v>13177</v>
      </c>
      <c r="H53" s="183">
        <v>0</v>
      </c>
      <c r="I53" s="184" t="s">
        <v>1641</v>
      </c>
      <c r="J53" s="184" t="s">
        <v>3104</v>
      </c>
      <c r="K53" s="224"/>
      <c r="L53" s="224"/>
      <c r="M53" s="224"/>
      <c r="N53" s="224"/>
      <c r="O53" s="224"/>
      <c r="P53" s="185"/>
      <c r="Q53" s="225"/>
      <c r="R53" s="182" t="str">
        <f ca="1">IF(ISERROR($V53),"",OFFSET('Smelter Look-up'!$C$4,$V53-4,0)&amp;"")</f>
        <v>Umicore S.A. Business Unit Precious Metals Refining</v>
      </c>
      <c r="S53" s="181" t="str">
        <f t="shared" ca="1" si="5"/>
        <v>BE</v>
      </c>
      <c r="T53" s="181" t="str">
        <f ca="1">IF(B53="","",IF(ISERROR(MATCH($J53,SorP!$B$1:$B$6226,0)),"",INDIRECT("'SorP'!$A$"&amp;MATCH($S53&amp;$J53,SorP!C:C,0))))</f>
        <v>BE-VAN</v>
      </c>
      <c r="U53" s="201"/>
      <c r="V53" s="226">
        <f>IF(C53="",NA(),IF(OR(C53="Smelter not listed",C53="Smelter not yet identified"),MATCH($B53&amp;$D53,'Smelter Look-up'!$J:$J,0),MATCH($B53&amp;$C53,'Smelter Look-up'!$J:$J,0)))</f>
        <v>302</v>
      </c>
      <c r="X53" s="227">
        <f t="shared" si="6"/>
        <v>0</v>
      </c>
      <c r="AB53" s="228" t="str">
        <f t="shared" si="7"/>
        <v>GoldUmicore S.A. Business Unit Precious Metals Refining</v>
      </c>
    </row>
    <row r="54" spans="1:28" s="227" customFormat="1" ht="76.5">
      <c r="A54" s="181" t="s">
        <v>720</v>
      </c>
      <c r="B54" s="182" t="s">
        <v>1098</v>
      </c>
      <c r="C54" s="186" t="s">
        <v>792</v>
      </c>
      <c r="D54" s="230"/>
      <c r="E54" s="182" t="s">
        <v>2384</v>
      </c>
      <c r="F54" s="182" t="s">
        <v>720</v>
      </c>
      <c r="G54" s="182" t="s">
        <v>13177</v>
      </c>
      <c r="H54" s="183">
        <v>0</v>
      </c>
      <c r="I54" s="184" t="s">
        <v>1643</v>
      </c>
      <c r="J54" s="184" t="s">
        <v>1583</v>
      </c>
      <c r="K54" s="224"/>
      <c r="L54" s="224"/>
      <c r="M54" s="224"/>
      <c r="N54" s="224"/>
      <c r="O54" s="224"/>
      <c r="P54" s="185"/>
      <c r="Q54" s="225"/>
      <c r="R54" s="182" t="str">
        <f ca="1">IF(ISERROR($V54),"",OFFSET('Smelter Look-up'!$C$4,$V54-4,0)&amp;"")</f>
        <v>United Precious Metal Refining, Inc.</v>
      </c>
      <c r="S54" s="181" t="str">
        <f t="shared" ca="1" si="5"/>
        <v>US</v>
      </c>
      <c r="T54" s="181" t="str">
        <f ca="1">IF(B54="","",IF(ISERROR(MATCH($J54,SorP!$B$1:$B$6226,0)),"",INDIRECT("'SorP'!$A$"&amp;MATCH($S54&amp;$J54,SorP!C:C,0))))</f>
        <v>US-NY</v>
      </c>
      <c r="U54" s="201"/>
      <c r="V54" s="226">
        <f>IF(C54="",NA(),IF(OR(C54="Smelter not listed",C54="Smelter not yet identified"),MATCH($B54&amp;$D54,'Smelter Look-up'!$J:$J,0),MATCH($B54&amp;$C54,'Smelter Look-up'!$J:$J,0)))</f>
        <v>303</v>
      </c>
      <c r="X54" s="227">
        <f t="shared" si="6"/>
        <v>0</v>
      </c>
      <c r="AB54" s="228" t="str">
        <f t="shared" si="7"/>
        <v>GoldUnited Precious Metal Refining, Inc.</v>
      </c>
    </row>
    <row r="55" spans="1:28" s="227" customFormat="1" ht="102">
      <c r="A55" s="181" t="s">
        <v>722</v>
      </c>
      <c r="B55" s="182" t="s">
        <v>1098</v>
      </c>
      <c r="C55" s="186" t="s">
        <v>2440</v>
      </c>
      <c r="D55" s="230"/>
      <c r="E55" s="182" t="s">
        <v>1062</v>
      </c>
      <c r="F55" s="182" t="s">
        <v>722</v>
      </c>
      <c r="G55" s="182" t="s">
        <v>13177</v>
      </c>
      <c r="H55" s="183">
        <v>0</v>
      </c>
      <c r="I55" s="184" t="s">
        <v>1645</v>
      </c>
      <c r="J55" s="184" t="s">
        <v>1646</v>
      </c>
      <c r="K55" s="224"/>
      <c r="L55" s="224"/>
      <c r="M55" s="224"/>
      <c r="N55" s="224"/>
      <c r="O55" s="224"/>
      <c r="P55" s="185"/>
      <c r="Q55" s="225"/>
      <c r="R55" s="182" t="str">
        <f ca="1">IF(ISERROR($V55),"",OFFSET('Smelter Look-up'!$C$4,$V55-4,0)&amp;"")</f>
        <v>Western Australian Mint (T/a The Perth Mint)</v>
      </c>
      <c r="S55" s="181" t="str">
        <f t="shared" ca="1" si="5"/>
        <v>AU</v>
      </c>
      <c r="T55" s="181" t="str">
        <f ca="1">IF(B55="","",IF(ISERROR(MATCH($J55,SorP!$B$1:$B$6226,0)),"",INDIRECT("'SorP'!$A$"&amp;MATCH($S55&amp;$J55,SorP!C:C,0))))</f>
        <v>AU-WA</v>
      </c>
      <c r="U55" s="201"/>
      <c r="V55" s="226">
        <f>IF(C55="",NA(),IF(OR(C55="Smelter not listed",C55="Smelter not yet identified"),MATCH($B55&amp;$D55,'Smelter Look-up'!$J:$J,0),MATCH($B55&amp;$C55,'Smelter Look-up'!$J:$J,0)))</f>
        <v>306</v>
      </c>
      <c r="X55" s="227">
        <f t="shared" si="6"/>
        <v>0</v>
      </c>
      <c r="AB55" s="228" t="str">
        <f t="shared" si="7"/>
        <v>GoldWestern Australian Mint (T/a The Perth Mint)</v>
      </c>
    </row>
    <row r="56" spans="1:28" s="227" customFormat="1" ht="63.75">
      <c r="A56" s="181" t="s">
        <v>2157</v>
      </c>
      <c r="B56" s="182" t="s">
        <v>1098</v>
      </c>
      <c r="C56" s="186" t="s">
        <v>2155</v>
      </c>
      <c r="D56" s="230"/>
      <c r="E56" s="182" t="s">
        <v>1070</v>
      </c>
      <c r="F56" s="182" t="s">
        <v>2157</v>
      </c>
      <c r="G56" s="182" t="s">
        <v>13177</v>
      </c>
      <c r="H56" s="183">
        <v>0</v>
      </c>
      <c r="I56" s="184" t="s">
        <v>1510</v>
      </c>
      <c r="J56" s="184" t="s">
        <v>1511</v>
      </c>
      <c r="K56" s="224"/>
      <c r="L56" s="224"/>
      <c r="M56" s="224"/>
      <c r="N56" s="224"/>
      <c r="O56" s="224"/>
      <c r="P56" s="185"/>
      <c r="Q56" s="225"/>
      <c r="R56" s="182" t="str">
        <f ca="1">IF(ISERROR($V56),"",OFFSET('Smelter Look-up'!$C$4,$V56-4,0)&amp;"")</f>
        <v>WIELAND Edelmetalle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307</v>
      </c>
      <c r="X56" s="227">
        <f t="shared" si="6"/>
        <v>0</v>
      </c>
      <c r="AB56" s="228" t="str">
        <f t="shared" si="7"/>
        <v>GoldWIELAND Edelmetalle GmbH</v>
      </c>
    </row>
    <row r="57" spans="1:28" s="227" customFormat="1" ht="76.5">
      <c r="A57" s="181" t="s">
        <v>776</v>
      </c>
      <c r="B57" s="182" t="s">
        <v>1101</v>
      </c>
      <c r="C57" s="186" t="s">
        <v>1348</v>
      </c>
      <c r="D57" s="230"/>
      <c r="E57" s="182" t="s">
        <v>1069</v>
      </c>
      <c r="F57" s="182" t="s">
        <v>776</v>
      </c>
      <c r="G57" s="182" t="s">
        <v>13177</v>
      </c>
      <c r="H57" s="183">
        <v>0</v>
      </c>
      <c r="I57" s="184" t="s">
        <v>1788</v>
      </c>
      <c r="J57" s="184" t="s">
        <v>13530</v>
      </c>
      <c r="K57" s="224"/>
      <c r="L57" s="224"/>
      <c r="M57" s="224"/>
      <c r="N57" s="224"/>
      <c r="O57" s="224"/>
      <c r="P57" s="185"/>
      <c r="Q57" s="225"/>
      <c r="R57" s="182" t="str">
        <f ca="1">IF(ISERROR($V57),"",OFFSET('Smelter Look-up'!$C$4,$V57-4,0)&amp;"")</f>
        <v>Xiamen Tungsten Co., Ltd.</v>
      </c>
      <c r="S57" s="181" t="str">
        <f t="shared" ca="1" si="5"/>
        <v>CN</v>
      </c>
      <c r="T57" s="181" t="str">
        <f ca="1">IF(B57="","",IF(ISERROR(MATCH($J57,SorP!$B$1:$B$6226,0)),"",INDIRECT("'SorP'!$A$"&amp;MATCH($S57&amp;$J57,SorP!C:C,0))))</f>
        <v>CN-FJ</v>
      </c>
      <c r="U57" s="201"/>
      <c r="V57" s="226">
        <f>IF(C57="",NA(),IF(OR(C57="Smelter not listed",C57="Smelter not yet identified"),MATCH($B57&amp;$D57,'Smelter Look-up'!$J:$J,0),MATCH($B57&amp;$C57,'Smelter Look-up'!$J:$J,0)))</f>
        <v>636</v>
      </c>
      <c r="X57" s="227">
        <f t="shared" si="6"/>
        <v>0</v>
      </c>
      <c r="AB57" s="228" t="str">
        <f t="shared" si="7"/>
        <v>TungstenXiamen Tungsten Co., Ltd.</v>
      </c>
    </row>
    <row r="58" spans="1:28" s="227" customFormat="1" ht="89.25">
      <c r="A58" s="181" t="s">
        <v>380</v>
      </c>
      <c r="B58" s="182" t="s">
        <v>1101</v>
      </c>
      <c r="C58" s="186" t="s">
        <v>379</v>
      </c>
      <c r="D58" s="230"/>
      <c r="E58" s="182" t="s">
        <v>1069</v>
      </c>
      <c r="F58" s="182" t="s">
        <v>380</v>
      </c>
      <c r="G58" s="182" t="s">
        <v>13177</v>
      </c>
      <c r="H58" s="183">
        <v>0</v>
      </c>
      <c r="I58" s="184" t="s">
        <v>1732</v>
      </c>
      <c r="J58" s="184" t="s">
        <v>13531</v>
      </c>
      <c r="K58" s="224"/>
      <c r="L58" s="224"/>
      <c r="M58" s="224"/>
      <c r="N58" s="224"/>
      <c r="O58" s="224"/>
      <c r="P58" s="185"/>
      <c r="Q58" s="225"/>
      <c r="R58" s="182" t="str">
        <f ca="1">IF(ISERROR($V58),"",OFFSET('Smelter Look-up'!$C$4,$V58-4,0)&amp;"")</f>
        <v>Ganzhou Seadragon W &amp; Mo Co., Ltd.</v>
      </c>
      <c r="S58" s="181" t="str">
        <f t="shared" ca="1" si="5"/>
        <v>CN</v>
      </c>
      <c r="T58" s="181" t="str">
        <f ca="1">IF(B58="","",IF(ISERROR(MATCH($J58,SorP!$B$1:$B$6226,0)),"",INDIRECT("'SorP'!$A$"&amp;MATCH($S58&amp;$J58,SorP!C:C,0))))</f>
        <v>CN-JX</v>
      </c>
      <c r="U58" s="201"/>
      <c r="V58" s="226">
        <f>IF(C58="",NA(),IF(OR(C58="Smelter not listed",C58="Smelter not yet identified"),MATCH($B58&amp;$D58,'Smelter Look-up'!$J:$J,0),MATCH($B58&amp;$C58,'Smelter Look-up'!$J:$J,0)))</f>
        <v>576</v>
      </c>
      <c r="X58" s="227">
        <f t="shared" si="6"/>
        <v>0</v>
      </c>
      <c r="AB58" s="228" t="str">
        <f t="shared" si="7"/>
        <v>TungstenGanzhou Seadragon W &amp; Mo Co., Ltd.</v>
      </c>
    </row>
    <row r="59" spans="1:28" s="227" customFormat="1" ht="114.75">
      <c r="A59" s="181" t="s">
        <v>1393</v>
      </c>
      <c r="B59" s="182" t="s">
        <v>1101</v>
      </c>
      <c r="C59" s="186" t="s">
        <v>1392</v>
      </c>
      <c r="D59" s="230"/>
      <c r="E59" s="182" t="s">
        <v>1069</v>
      </c>
      <c r="F59" s="182" t="s">
        <v>1393</v>
      </c>
      <c r="G59" s="182" t="s">
        <v>13177</v>
      </c>
      <c r="H59" s="183">
        <v>0</v>
      </c>
      <c r="I59" s="184" t="s">
        <v>1732</v>
      </c>
      <c r="J59" s="184" t="s">
        <v>13531</v>
      </c>
      <c r="K59" s="224"/>
      <c r="L59" s="224"/>
      <c r="M59" s="224"/>
      <c r="N59" s="224"/>
      <c r="O59" s="224"/>
      <c r="P59" s="185"/>
      <c r="Q59" s="225"/>
      <c r="R59" s="182" t="str">
        <f ca="1">IF(ISERROR($V59),"",OFFSET('Smelter Look-up'!$C$4,$V59-4,0)&amp;"")</f>
        <v>Jiangwu H.C. Starck Tungsten Products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592</v>
      </c>
      <c r="X59" s="227">
        <f t="shared" si="6"/>
        <v>0</v>
      </c>
      <c r="AB59" s="228" t="str">
        <f t="shared" si="7"/>
        <v>TungstenJiangwu H.C. Starck Tungsten Products Co., Ltd.</v>
      </c>
    </row>
    <row r="60" spans="1:28" s="227" customFormat="1" ht="204">
      <c r="A60" s="181" t="s">
        <v>1370</v>
      </c>
      <c r="B60" s="182" t="s">
        <v>1101</v>
      </c>
      <c r="C60" s="186" t="s">
        <v>15354</v>
      </c>
      <c r="D60" s="230"/>
      <c r="E60" s="182" t="s">
        <v>1069</v>
      </c>
      <c r="F60" s="182" t="s">
        <v>1370</v>
      </c>
      <c r="G60" s="182" t="s">
        <v>13177</v>
      </c>
      <c r="H60" s="183">
        <v>0</v>
      </c>
      <c r="I60" s="184" t="s">
        <v>1733</v>
      </c>
      <c r="J60" s="184" t="s">
        <v>13535</v>
      </c>
      <c r="K60" s="224"/>
      <c r="L60" s="224"/>
      <c r="M60" s="224"/>
      <c r="N60" s="224"/>
      <c r="O60" s="224"/>
      <c r="P60" s="185"/>
      <c r="Q60" s="225"/>
      <c r="R60" s="182" t="str">
        <f ca="1">IF(ISERROR($V60),"",OFFSET('Smelter Look-up'!$C$4,$V60-4,0)&amp;"")</f>
        <v>Hunan Shizhuyuan Nonferrous Metals Co., Ltd. Chenzhou Tungsten Products Branch</v>
      </c>
      <c r="S60" s="181" t="str">
        <f t="shared" ca="1" si="5"/>
        <v>CN</v>
      </c>
      <c r="T60" s="181" t="str">
        <f ca="1">IF(B60="","",IF(ISERROR(MATCH($J60,SorP!$B$1:$B$6226,0)),"",INDIRECT("'SorP'!$A$"&amp;MATCH($S60&amp;$J60,SorP!C:C,0))))</f>
        <v>CN-HN</v>
      </c>
      <c r="U60" s="201"/>
      <c r="V60" s="226">
        <f>IF(C60="",NA(),IF(OR(C60="Smelter not listed",C60="Smelter not yet identified"),MATCH($B60&amp;$D60,'Smelter Look-up'!$J:$J,0),MATCH($B60&amp;$C60,'Smelter Look-up'!$J:$J,0)))</f>
        <v>589</v>
      </c>
      <c r="X60" s="227">
        <f t="shared" si="6"/>
        <v>0</v>
      </c>
      <c r="AB60" s="228" t="str">
        <f t="shared" si="7"/>
        <v>TungstenHunan Shizhuyuan Nonferrous Metals Co., Ltd. Chenzhou Tungsten Products Branch</v>
      </c>
    </row>
    <row r="61" spans="1:28" s="227" customFormat="1" ht="102">
      <c r="A61" s="181" t="s">
        <v>137</v>
      </c>
      <c r="B61" s="182" t="s">
        <v>1101</v>
      </c>
      <c r="C61" s="186" t="s">
        <v>147</v>
      </c>
      <c r="D61" s="230"/>
      <c r="E61" s="182" t="s">
        <v>1069</v>
      </c>
      <c r="F61" s="182" t="s">
        <v>137</v>
      </c>
      <c r="G61" s="182" t="s">
        <v>13177</v>
      </c>
      <c r="H61" s="183">
        <v>0</v>
      </c>
      <c r="I61" s="184" t="s">
        <v>1788</v>
      </c>
      <c r="J61" s="184" t="s">
        <v>13530</v>
      </c>
      <c r="K61" s="224"/>
      <c r="L61" s="224"/>
      <c r="M61" s="224"/>
      <c r="N61" s="224"/>
      <c r="O61" s="224"/>
      <c r="P61" s="185"/>
      <c r="Q61" s="225"/>
      <c r="R61" s="182" t="str">
        <f ca="1">IF(ISERROR($V61),"",OFFSET('Smelter Look-up'!$C$4,$V61-4,0)&amp;"")</f>
        <v>Xiamen Tungsten (H.C.)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635</v>
      </c>
      <c r="X61" s="227">
        <f t="shared" si="6"/>
        <v>0</v>
      </c>
      <c r="AB61" s="228" t="str">
        <f t="shared" si="7"/>
        <v>TungstenXiamen Tungsten (H.C.) Co., Ltd.</v>
      </c>
    </row>
    <row r="62" spans="1:28" s="227" customFormat="1" ht="102">
      <c r="A62" s="181" t="s">
        <v>770</v>
      </c>
      <c r="B62" s="182" t="s">
        <v>1101</v>
      </c>
      <c r="C62" s="186" t="s">
        <v>1344</v>
      </c>
      <c r="D62" s="230"/>
      <c r="E62" s="182" t="s">
        <v>1069</v>
      </c>
      <c r="F62" s="182" t="s">
        <v>770</v>
      </c>
      <c r="G62" s="182" t="s">
        <v>13177</v>
      </c>
      <c r="H62" s="183">
        <v>0</v>
      </c>
      <c r="I62" s="184" t="s">
        <v>1732</v>
      </c>
      <c r="J62" s="184" t="s">
        <v>13531</v>
      </c>
      <c r="K62" s="224"/>
      <c r="L62" s="224"/>
      <c r="M62" s="224"/>
      <c r="N62" s="224"/>
      <c r="O62" s="224"/>
      <c r="P62" s="185"/>
      <c r="Q62" s="225"/>
      <c r="R62" s="182" t="str">
        <f ca="1">IF(ISERROR($V62),"",OFFSET('Smelter Look-up'!$C$4,$V62-4,0)&amp;"")</f>
        <v>Chongyi Zhangyuan Tungsten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569</v>
      </c>
      <c r="X62" s="227">
        <f t="shared" si="6"/>
        <v>0</v>
      </c>
      <c r="AB62" s="228" t="str">
        <f t="shared" si="7"/>
        <v>TungstenChongyi Zhangyuan Tungsten Co., Ltd.</v>
      </c>
    </row>
    <row r="63" spans="1:28" s="227" customFormat="1" ht="76.5">
      <c r="A63" s="181" t="s">
        <v>771</v>
      </c>
      <c r="B63" s="182" t="s">
        <v>1101</v>
      </c>
      <c r="C63" s="186" t="s">
        <v>15647</v>
      </c>
      <c r="D63" s="230"/>
      <c r="E63" s="182" t="s">
        <v>2384</v>
      </c>
      <c r="F63" s="182" t="s">
        <v>771</v>
      </c>
      <c r="G63" s="182" t="s">
        <v>13177</v>
      </c>
      <c r="H63" s="183">
        <v>0</v>
      </c>
      <c r="I63" s="184" t="s">
        <v>1783</v>
      </c>
      <c r="J63" s="184" t="s">
        <v>1699</v>
      </c>
      <c r="K63" s="224"/>
      <c r="L63" s="224"/>
      <c r="M63" s="224"/>
      <c r="N63" s="224"/>
      <c r="O63" s="224"/>
      <c r="P63" s="185"/>
      <c r="Q63" s="225"/>
      <c r="R63" s="182" t="str">
        <f ca="1">IF(ISERROR($V63),"",OFFSET('Smelter Look-up'!$C$4,$V63-4,0)&amp;"")</f>
        <v>Global Tungsten &amp; Powders LLC</v>
      </c>
      <c r="S63" s="181" t="str">
        <f t="shared" ca="1" si="5"/>
        <v>US</v>
      </c>
      <c r="T63" s="181" t="str">
        <f ca="1">IF(B63="","",IF(ISERROR(MATCH($J63,SorP!$B$1:$B$6226,0)),"",INDIRECT("'SorP'!$A$"&amp;MATCH($S63&amp;$J63,SorP!C:C,0))))</f>
        <v>US-PA</v>
      </c>
      <c r="U63" s="201"/>
      <c r="V63" s="226">
        <f>IF(C63="",NA(),IF(OR(C63="Smelter not listed",C63="Smelter not yet identified"),MATCH($B63&amp;$D63,'Smelter Look-up'!$J:$J,0),MATCH($B63&amp;$C63,'Smelter Look-up'!$J:$J,0)))</f>
        <v>578</v>
      </c>
      <c r="X63" s="227">
        <f t="shared" si="6"/>
        <v>0</v>
      </c>
      <c r="AB63" s="228" t="str">
        <f t="shared" si="7"/>
        <v>TungstenGlobal Tungsten &amp; Powders LLC</v>
      </c>
    </row>
    <row r="64" spans="1:28" s="227" customFormat="1" ht="25.5">
      <c r="A64" s="181" t="s">
        <v>747</v>
      </c>
      <c r="B64" s="182" t="s">
        <v>1099</v>
      </c>
      <c r="C64" s="186" t="s">
        <v>788</v>
      </c>
      <c r="D64" s="230"/>
      <c r="E64" s="182" t="s">
        <v>853</v>
      </c>
      <c r="F64" s="182" t="s">
        <v>747</v>
      </c>
      <c r="G64" s="182" t="s">
        <v>13177</v>
      </c>
      <c r="H64" s="183">
        <v>0</v>
      </c>
      <c r="I64" s="184" t="s">
        <v>1730</v>
      </c>
      <c r="J64" s="184" t="s">
        <v>9448</v>
      </c>
      <c r="K64" s="224"/>
      <c r="L64" s="224"/>
      <c r="M64" s="224"/>
      <c r="N64" s="224"/>
      <c r="O64" s="224"/>
      <c r="P64" s="185"/>
      <c r="Q64" s="225"/>
      <c r="R64" s="182" t="str">
        <f ca="1">IF(ISERROR($V64),"",OFFSET('Smelter Look-up'!$C$4,$V64-4,0)&amp;"")</f>
        <v>Fenix Metals</v>
      </c>
      <c r="S64" s="181" t="str">
        <f t="shared" ca="1" si="5"/>
        <v>PL</v>
      </c>
      <c r="T64" s="181" t="str">
        <f ca="1">IF(B64="","",IF(ISERROR(MATCH($J64,SorP!$B$1:$B$6226,0)),"",INDIRECT("'SorP'!$A$"&amp;MATCH($S64&amp;$J64,SorP!C:C,0))))</f>
        <v>PL-18</v>
      </c>
      <c r="U64" s="201"/>
      <c r="V64" s="226">
        <f>IF(C64="",NA(),IF(OR(C64="Smelter not listed",C64="Smelter not yet identified"),MATCH($B64&amp;$D64,'Smelter Look-up'!$J:$J,0),MATCH($B64&amp;$C64,'Smelter Look-up'!$J:$J,0)))</f>
        <v>437</v>
      </c>
      <c r="X64" s="227">
        <f t="shared" si="6"/>
        <v>0</v>
      </c>
      <c r="AB64" s="228" t="str">
        <f t="shared" si="7"/>
        <v>TinFenix Metals</v>
      </c>
    </row>
    <row r="65" spans="1:28" s="227" customFormat="1" ht="51">
      <c r="A65" s="181" t="s">
        <v>759</v>
      </c>
      <c r="B65" s="182" t="s">
        <v>1099</v>
      </c>
      <c r="C65" s="186" t="s">
        <v>610</v>
      </c>
      <c r="D65" s="230"/>
      <c r="E65" s="182" t="s">
        <v>1074</v>
      </c>
      <c r="F65" s="182" t="s">
        <v>759</v>
      </c>
      <c r="G65" s="182" t="s">
        <v>13177</v>
      </c>
      <c r="H65" s="183">
        <v>0</v>
      </c>
      <c r="I65" s="184" t="s">
        <v>1726</v>
      </c>
      <c r="J65" s="184" t="s">
        <v>12799</v>
      </c>
      <c r="K65" s="224"/>
      <c r="L65" s="224"/>
      <c r="M65" s="224"/>
      <c r="N65" s="224"/>
      <c r="O65" s="224"/>
      <c r="P65" s="185"/>
      <c r="Q65" s="225"/>
      <c r="R65" s="182" t="str">
        <f ca="1">IF(ISERROR($V65),"",OFFSET('Smelter Look-up'!$C$4,$V65-4,0)&amp;"")</f>
        <v>PT Mitra Stania Prima</v>
      </c>
      <c r="S65" s="181" t="str">
        <f t="shared" ca="1" si="5"/>
        <v>ID</v>
      </c>
      <c r="T65" s="181" t="str">
        <f ca="1">IF(B65="","",IF(ISERROR(MATCH($J65,SorP!$B$1:$B$6226,0)),"",INDIRECT("'SorP'!$A$"&amp;MATCH($S65&amp;$J65,SorP!C:C,0))))</f>
        <v>ID-BB</v>
      </c>
      <c r="U65" s="201"/>
      <c r="V65" s="226">
        <f>IF(C65="",NA(),IF(OR(C65="Smelter not listed",C65="Smelter not yet identified"),MATCH($B65&amp;$D65,'Smelter Look-up'!$J:$J,0),MATCH($B65&amp;$C65,'Smelter Look-up'!$J:$J,0)))</f>
        <v>502</v>
      </c>
      <c r="X65" s="227">
        <f t="shared" si="6"/>
        <v>0</v>
      </c>
      <c r="AB65" s="228" t="str">
        <f t="shared" si="7"/>
        <v>TinPT Mitra Stania Prima</v>
      </c>
    </row>
    <row r="66" spans="1:28" s="227" customFormat="1" ht="38.25">
      <c r="A66" s="181" t="s">
        <v>745</v>
      </c>
      <c r="B66" s="182" t="s">
        <v>1099</v>
      </c>
      <c r="C66" s="186" t="s">
        <v>814</v>
      </c>
      <c r="D66" s="230"/>
      <c r="E66" s="182" t="s">
        <v>2382</v>
      </c>
      <c r="F66" s="182" t="s">
        <v>745</v>
      </c>
      <c r="G66" s="182" t="s">
        <v>13177</v>
      </c>
      <c r="H66" s="183">
        <v>0</v>
      </c>
      <c r="I66" s="184" t="s">
        <v>1728</v>
      </c>
      <c r="J66" s="184" t="s">
        <v>1728</v>
      </c>
      <c r="K66" s="224"/>
      <c r="L66" s="224"/>
      <c r="M66" s="224"/>
      <c r="N66" s="224"/>
      <c r="O66" s="224"/>
      <c r="P66" s="185"/>
      <c r="Q66" s="225"/>
      <c r="R66" s="182" t="str">
        <f ca="1">IF(ISERROR($V66),"",OFFSET('Smelter Look-up'!$C$4,$V66-4,0)&amp;"")</f>
        <v>EM Vinto</v>
      </c>
      <c r="S66" s="181" t="str">
        <f t="shared" ca="1" si="5"/>
        <v>BO</v>
      </c>
      <c r="T66" s="181" t="str">
        <f ca="1">IF(B66="","",IF(ISERROR(MATCH($J66,SorP!$B$1:$B$6226,0)),"",INDIRECT("'SorP'!$A$"&amp;MATCH($S66&amp;$J66,SorP!C:C,0))))</f>
        <v>BO-O</v>
      </c>
      <c r="U66" s="201"/>
      <c r="V66" s="226">
        <f>IF(C66="",NA(),IF(OR(C66="Smelter not listed",C66="Smelter not yet identified"),MATCH($B66&amp;$D66,'Smelter Look-up'!$J:$J,0),MATCH($B66&amp;$C66,'Smelter Look-up'!$J:$J,0)))</f>
        <v>428</v>
      </c>
      <c r="X66" s="227">
        <f t="shared" si="6"/>
        <v>0</v>
      </c>
      <c r="AB66" s="228" t="str">
        <f t="shared" si="7"/>
        <v>TinEM Vinto</v>
      </c>
    </row>
    <row r="67" spans="1:28" s="227" customFormat="1" ht="25.5">
      <c r="A67" s="181" t="s">
        <v>754</v>
      </c>
      <c r="B67" s="182" t="s">
        <v>1099</v>
      </c>
      <c r="C67" s="186" t="s">
        <v>1003</v>
      </c>
      <c r="D67" s="230"/>
      <c r="E67" s="182" t="s">
        <v>851</v>
      </c>
      <c r="F67" s="182" t="s">
        <v>754</v>
      </c>
      <c r="G67" s="182" t="s">
        <v>13177</v>
      </c>
      <c r="H67" s="183">
        <v>0</v>
      </c>
      <c r="I67" s="184" t="s">
        <v>1743</v>
      </c>
      <c r="J67" s="184" t="s">
        <v>9062</v>
      </c>
      <c r="K67" s="224"/>
      <c r="L67" s="224"/>
      <c r="M67" s="224"/>
      <c r="N67" s="224"/>
      <c r="O67" s="224"/>
      <c r="P67" s="185"/>
      <c r="Q67" s="225"/>
      <c r="R67" s="182" t="str">
        <f ca="1">IF(ISERROR($V67),"",OFFSET('Smelter Look-up'!$C$4,$V67-4,0)&amp;"")</f>
        <v>Minsur</v>
      </c>
      <c r="S67" s="181" t="str">
        <f t="shared" ca="1" si="5"/>
        <v>PE</v>
      </c>
      <c r="T67" s="181" t="str">
        <f ca="1">IF(B67="","",IF(ISERROR(MATCH($J67,SorP!$B$1:$B$6226,0)),"",INDIRECT("'SorP'!$A$"&amp;MATCH($S67&amp;$J67,SorP!C:C,0))))</f>
        <v>PE-ICA</v>
      </c>
      <c r="U67" s="201"/>
      <c r="V67" s="226">
        <f>IF(C67="",NA(),IF(OR(C67="Smelter not listed",C67="Smelter not yet identified"),MATCH($B67&amp;$D67,'Smelter Look-up'!$J:$J,0),MATCH($B67&amp;$C67,'Smelter Look-up'!$J:$J,0)))</f>
        <v>481</v>
      </c>
      <c r="X67" s="227">
        <f t="shared" si="6"/>
        <v>0</v>
      </c>
      <c r="AB67" s="228" t="str">
        <f t="shared" si="7"/>
        <v>TinMinsur</v>
      </c>
    </row>
    <row r="68" spans="1:28" s="227" customFormat="1" ht="63.75">
      <c r="A68" s="181" t="s">
        <v>758</v>
      </c>
      <c r="B68" s="182" t="s">
        <v>1099</v>
      </c>
      <c r="C68" s="186" t="s">
        <v>13715</v>
      </c>
      <c r="D68" s="230"/>
      <c r="E68" s="182" t="s">
        <v>2382</v>
      </c>
      <c r="F68" s="182" t="s">
        <v>758</v>
      </c>
      <c r="G68" s="182" t="s">
        <v>13177</v>
      </c>
      <c r="H68" s="183">
        <v>0</v>
      </c>
      <c r="I68" s="184" t="s">
        <v>1728</v>
      </c>
      <c r="J68" s="184" t="s">
        <v>1728</v>
      </c>
      <c r="K68" s="224"/>
      <c r="L68" s="224"/>
      <c r="M68" s="224"/>
      <c r="N68" s="224"/>
      <c r="O68" s="224"/>
      <c r="P68" s="185"/>
      <c r="Q68" s="225"/>
      <c r="R68" s="182" t="str">
        <f ca="1">IF(ISERROR($V68),"",OFFSET('Smelter Look-up'!$C$4,$V68-4,0)&amp;"")</f>
        <v>Operaciones Metalurgicas S.A.</v>
      </c>
      <c r="S68" s="181" t="str">
        <f t="shared" ref="S68" ca="1" si="8">IF(B68="","",IF(ISERROR(MATCH($E68,CL,0)),"Unknown",INDIRECT("'C'!$A$"&amp;MATCH($E68,CL,0)+1)))</f>
        <v>BO</v>
      </c>
      <c r="T68" s="181" t="str">
        <f ca="1">IF(B68="","",IF(ISERROR(MATCH($J68,SorP!$B$1:$B$6226,0)),"",INDIRECT("'SorP'!$A$"&amp;MATCH($S68&amp;$J68,SorP!C:C,0))))</f>
        <v>BO-O</v>
      </c>
      <c r="U68" s="201"/>
      <c r="V68" s="226">
        <f>IF(C68="",NA(),IF(OR(C68="Smelter not listed",C68="Smelter not yet identified"),MATCH($B68&amp;$D68,'Smelter Look-up'!$J:$J,0),MATCH($B68&amp;$C68,'Smelter Look-up'!$J:$J,0)))</f>
        <v>493</v>
      </c>
      <c r="X68" s="227">
        <f t="shared" ref="X68" si="9">IF(AND(C68="Smelter not listed",OR(LEN(D68)=0,LEN(E68)=0)),1,0)</f>
        <v>0</v>
      </c>
      <c r="AB68" s="228" t="str">
        <f t="shared" ref="AB68" si="10">B68&amp;C68</f>
        <v>TinOperaciones Metalurgicas S.A.</v>
      </c>
    </row>
    <row r="69" spans="1:28" s="227" customFormat="1" ht="63.75">
      <c r="A69" s="181" t="s">
        <v>751</v>
      </c>
      <c r="B69" s="182" t="s">
        <v>1099</v>
      </c>
      <c r="C69" s="186" t="s">
        <v>1293</v>
      </c>
      <c r="D69" s="230"/>
      <c r="E69" s="182" t="s">
        <v>1069</v>
      </c>
      <c r="F69" s="182" t="s">
        <v>751</v>
      </c>
      <c r="G69" s="182" t="s">
        <v>13177</v>
      </c>
      <c r="H69" s="183">
        <v>0</v>
      </c>
      <c r="I69" s="184" t="s">
        <v>1734</v>
      </c>
      <c r="J69" s="184" t="s">
        <v>13515</v>
      </c>
      <c r="K69" s="224"/>
      <c r="L69" s="224"/>
      <c r="M69" s="224"/>
      <c r="N69" s="224"/>
      <c r="O69" s="224"/>
      <c r="P69" s="185"/>
      <c r="Q69" s="225"/>
      <c r="R69" s="182" t="str">
        <f ca="1">IF(ISERROR($V69),"",OFFSET('Smelter Look-up'!$C$4,$V69-4,0)&amp;"")</f>
        <v>China Tin Group Co., Ltd.</v>
      </c>
      <c r="S69" s="181" t="str">
        <f t="shared" ref="S69:S100" ca="1" si="11">IF(B69="","",IF(ISERROR(MATCH($E69,CL,0)),"Unknown",INDIRECT("'C'!$A$"&amp;MATCH($E69,CL,0)+1)))</f>
        <v>CN</v>
      </c>
      <c r="T69" s="181" t="str">
        <f ca="1">IF(B69="","",IF(ISERROR(MATCH($J69,SorP!$B$1:$B$6226,0)),"",INDIRECT("'SorP'!$A$"&amp;MATCH($S69&amp;$J69,SorP!C:C,0))))</f>
        <v>CN-GX</v>
      </c>
      <c r="U69" s="201"/>
      <c r="V69" s="226">
        <f>IF(C69="",NA(),IF(OR(C69="Smelter not listed",C69="Smelter not yet identified"),MATCH($B69&amp;$D69,'Smelter Look-up'!$J:$J,0),MATCH($B69&amp;$C69,'Smelter Look-up'!$J:$J,0)))</f>
        <v>411</v>
      </c>
      <c r="X69" s="227">
        <f t="shared" ref="X69:X100" si="12">IF(AND(C69="Smelter not listed",OR(LEN(D69)=0,LEN(E69)=0)),1,0)</f>
        <v>0</v>
      </c>
      <c r="AB69" s="228" t="str">
        <f t="shared" ref="AB69:AB100" si="13">B69&amp;C69</f>
        <v>TinChina Tin Group Co., Ltd.</v>
      </c>
    </row>
    <row r="70" spans="1:28" s="227" customFormat="1" ht="38.25">
      <c r="A70" s="181" t="s">
        <v>1772</v>
      </c>
      <c r="B70" s="182" t="s">
        <v>1099</v>
      </c>
      <c r="C70" s="186" t="s">
        <v>15341</v>
      </c>
      <c r="D70" s="230"/>
      <c r="E70" s="182" t="s">
        <v>1064</v>
      </c>
      <c r="F70" s="182" t="s">
        <v>1772</v>
      </c>
      <c r="G70" s="182" t="s">
        <v>13177</v>
      </c>
      <c r="H70" s="183">
        <v>0</v>
      </c>
      <c r="I70" s="184" t="s">
        <v>1773</v>
      </c>
      <c r="J70" s="184" t="s">
        <v>3104</v>
      </c>
      <c r="K70" s="224"/>
      <c r="L70" s="224"/>
      <c r="M70" s="224"/>
      <c r="N70" s="224"/>
      <c r="O70" s="224"/>
      <c r="P70" s="185"/>
      <c r="Q70" s="225"/>
      <c r="R70" s="182" t="str">
        <f ca="1">IF(ISERROR($V70),"",OFFSET('Smelter Look-up'!$C$4,$V70-4,0)&amp;"")</f>
        <v>Aurubis Beerse</v>
      </c>
      <c r="S70" s="181" t="str">
        <f t="shared" ca="1" si="11"/>
        <v>BE</v>
      </c>
      <c r="T70" s="181" t="str">
        <f ca="1">IF(B70="","",IF(ISERROR(MATCH($J70,SorP!$B$1:$B$6226,0)),"",INDIRECT("'SorP'!$A$"&amp;MATCH($S70&amp;$J70,SorP!C:C,0))))</f>
        <v>BE-VAN</v>
      </c>
      <c r="U70" s="201"/>
      <c r="V70" s="226">
        <f>IF(C70="",NA(),IF(OR(C70="Smelter not listed",C70="Smelter not yet identified"),MATCH($B70&amp;$D70,'Smelter Look-up'!$J:$J,0),MATCH($B70&amp;$C70,'Smelter Look-up'!$J:$J,0)))</f>
        <v>404</v>
      </c>
      <c r="X70" s="227">
        <f t="shared" si="12"/>
        <v>0</v>
      </c>
      <c r="AB70" s="228" t="str">
        <f t="shared" si="13"/>
        <v>TinAurubis Beerse</v>
      </c>
    </row>
    <row r="71" spans="1:28" s="227" customFormat="1" ht="38.25">
      <c r="A71" s="181" t="s">
        <v>1774</v>
      </c>
      <c r="B71" s="182" t="s">
        <v>1099</v>
      </c>
      <c r="C71" s="186" t="s">
        <v>15342</v>
      </c>
      <c r="D71" s="230"/>
      <c r="E71" s="182" t="s">
        <v>1071</v>
      </c>
      <c r="F71" s="182" t="s">
        <v>1774</v>
      </c>
      <c r="G71" s="182" t="s">
        <v>13177</v>
      </c>
      <c r="H71" s="183">
        <v>0</v>
      </c>
      <c r="I71" s="184" t="s">
        <v>1775</v>
      </c>
      <c r="J71" s="184" t="s">
        <v>12359</v>
      </c>
      <c r="K71" s="224"/>
      <c r="L71" s="224"/>
      <c r="M71" s="224"/>
      <c r="N71" s="224"/>
      <c r="O71" s="224"/>
      <c r="P71" s="185"/>
      <c r="Q71" s="225"/>
      <c r="R71" s="182" t="str">
        <f ca="1">IF(ISERROR($V71),"",OFFSET('Smelter Look-up'!$C$4,$V71-4,0)&amp;"")</f>
        <v>Aurubis Berango</v>
      </c>
      <c r="S71" s="181" t="str">
        <f t="shared" ca="1" si="11"/>
        <v>ES</v>
      </c>
      <c r="T71" s="181" t="str">
        <f ca="1">IF(B71="","",IF(ISERROR(MATCH($J71,SorP!$B$1:$B$6226,0)),"",INDIRECT("'SorP'!$A$"&amp;MATCH($S71&amp;$J71,SorP!C:C,0))))</f>
        <v>ES-BI</v>
      </c>
      <c r="U71" s="201"/>
      <c r="V71" s="226">
        <f>IF(C71="",NA(),IF(OR(C71="Smelter not listed",C71="Smelter not yet identified"),MATCH($B71&amp;$D71,'Smelter Look-up'!$J:$J,0),MATCH($B71&amp;$C71,'Smelter Look-up'!$J:$J,0)))</f>
        <v>405</v>
      </c>
      <c r="X71" s="227">
        <f t="shared" si="12"/>
        <v>0</v>
      </c>
      <c r="AB71" s="228" t="str">
        <f t="shared" si="13"/>
        <v>TinAurubis Berango</v>
      </c>
    </row>
    <row r="72" spans="1:28" s="227" customFormat="1" ht="114.75">
      <c r="A72" s="181" t="s">
        <v>2230</v>
      </c>
      <c r="B72" s="182" t="s">
        <v>1099</v>
      </c>
      <c r="C72" s="186" t="s">
        <v>2287</v>
      </c>
      <c r="D72" s="230"/>
      <c r="E72" s="182" t="s">
        <v>1069</v>
      </c>
      <c r="F72" s="182" t="s">
        <v>2230</v>
      </c>
      <c r="G72" s="182" t="s">
        <v>13177</v>
      </c>
      <c r="H72" s="183">
        <v>0</v>
      </c>
      <c r="I72" s="184" t="s">
        <v>1733</v>
      </c>
      <c r="J72" s="184" t="s">
        <v>13535</v>
      </c>
      <c r="K72" s="224"/>
      <c r="L72" s="224"/>
      <c r="M72" s="224"/>
      <c r="N72" s="224"/>
      <c r="O72" s="224"/>
      <c r="P72" s="185"/>
      <c r="Q72" s="225"/>
      <c r="R72" s="182" t="str">
        <f ca="1">IF(ISERROR($V72),"",OFFSET('Smelter Look-up'!$C$4,$V72-4,0)&amp;"")</f>
        <v>Chenzhou Yunxiang Mining and Metallurgy Co., Ltd.</v>
      </c>
      <c r="S72" s="181" t="str">
        <f t="shared" ca="1" si="11"/>
        <v>CN</v>
      </c>
      <c r="T72" s="181" t="str">
        <f ca="1">IF(B72="","",IF(ISERROR(MATCH($J72,SorP!$B$1:$B$6226,0)),"",INDIRECT("'SorP'!$A$"&amp;MATCH($S72&amp;$J72,SorP!C:C,0))))</f>
        <v>CN-HN</v>
      </c>
      <c r="U72" s="201"/>
      <c r="V72" s="226">
        <f>IF(C72="",NA(),IF(OR(C72="Smelter not listed",C72="Smelter not yet identified"),MATCH($B72&amp;$D72,'Smelter Look-up'!$J:$J,0),MATCH($B72&amp;$C72,'Smelter Look-up'!$J:$J,0)))</f>
        <v>408</v>
      </c>
      <c r="X72" s="227">
        <f t="shared" si="12"/>
        <v>0</v>
      </c>
      <c r="AB72" s="228" t="str">
        <f t="shared" si="13"/>
        <v>TinChenzhou Yunxiang Mining and Metallurgy Co., Ltd.</v>
      </c>
    </row>
    <row r="73" spans="1:28" s="227" customFormat="1" ht="102">
      <c r="A73" s="181" t="s">
        <v>709</v>
      </c>
      <c r="B73" s="182" t="s">
        <v>1098</v>
      </c>
      <c r="C73" s="186" t="s">
        <v>2114</v>
      </c>
      <c r="D73" s="230"/>
      <c r="E73" s="182" t="s">
        <v>1069</v>
      </c>
      <c r="F73" s="182" t="s">
        <v>709</v>
      </c>
      <c r="G73" s="182" t="s">
        <v>13177</v>
      </c>
      <c r="H73" s="183">
        <v>0</v>
      </c>
      <c r="I73" s="184" t="s">
        <v>1552</v>
      </c>
      <c r="J73" s="184" t="s">
        <v>13532</v>
      </c>
      <c r="K73" s="224"/>
      <c r="L73" s="224"/>
      <c r="M73" s="224"/>
      <c r="N73" s="224"/>
      <c r="O73" s="224"/>
      <c r="P73" s="185"/>
      <c r="Q73" s="225"/>
      <c r="R73" s="182" t="str">
        <f ca="1">IF(ISERROR($V73),"",OFFSET('Smelter Look-up'!$C$4,$V73-4,0)&amp;"")</f>
        <v>Shandong Zhaojin Gold &amp; Silver Refinery Co., Ltd.</v>
      </c>
      <c r="S73" s="181" t="str">
        <f t="shared" ca="1" si="11"/>
        <v>CN</v>
      </c>
      <c r="T73" s="181" t="str">
        <f ca="1">IF(B73="","",IF(ISERROR(MATCH($J73,SorP!$B$1:$B$6226,0)),"",INDIRECT("'SorP'!$A$"&amp;MATCH($S73&amp;$J73,SorP!C:C,0))))</f>
        <v>CN-SD</v>
      </c>
      <c r="U73" s="201"/>
      <c r="V73" s="226">
        <f>IF(C73="",NA(),IF(OR(C73="Smelter not listed",C73="Smelter not yet identified"),MATCH($B73&amp;$D73,'Smelter Look-up'!$J:$J,0),MATCH($B73&amp;$C73,'Smelter Look-up'!$J:$J,0)))</f>
        <v>254</v>
      </c>
      <c r="X73" s="227">
        <f t="shared" si="12"/>
        <v>0</v>
      </c>
      <c r="AB73" s="228" t="str">
        <f t="shared" si="13"/>
        <v>GoldShandong Zhaojin Gold &amp; Silver Refinery Co., Ltd.</v>
      </c>
    </row>
    <row r="74" spans="1:28" s="227" customFormat="1" ht="114.75">
      <c r="A74" s="181" t="s">
        <v>726</v>
      </c>
      <c r="B74" s="182" t="s">
        <v>1098</v>
      </c>
      <c r="C74" s="186" t="s">
        <v>1291</v>
      </c>
      <c r="D74" s="230"/>
      <c r="E74" s="182" t="s">
        <v>1069</v>
      </c>
      <c r="F74" s="182" t="s">
        <v>726</v>
      </c>
      <c r="G74" s="182" t="s">
        <v>13177</v>
      </c>
      <c r="H74" s="183">
        <v>0</v>
      </c>
      <c r="I74" s="184" t="s">
        <v>1652</v>
      </c>
      <c r="J74" s="184" t="s">
        <v>13533</v>
      </c>
      <c r="K74" s="224"/>
      <c r="L74" s="224"/>
      <c r="M74" s="224"/>
      <c r="N74" s="224"/>
      <c r="O74" s="224"/>
      <c r="P74" s="185"/>
      <c r="Q74" s="225"/>
      <c r="R74" s="182" t="str">
        <f ca="1">IF(ISERROR($V74),"",OFFSET('Smelter Look-up'!$C$4,$V74-4,0)&amp;"")</f>
        <v>Zhongyuan Gold Smelter of Zhongjin Gold Corporation</v>
      </c>
      <c r="S74" s="181" t="str">
        <f t="shared" ca="1" si="11"/>
        <v>CN</v>
      </c>
      <c r="T74" s="181" t="str">
        <f ca="1">IF(B74="","",IF(ISERROR(MATCH($J74,SorP!$B$1:$B$6226,0)),"",INDIRECT("'SorP'!$A$"&amp;MATCH($S74&amp;$J74,SorP!C:C,0))))</f>
        <v>CN-HA</v>
      </c>
      <c r="U74" s="201"/>
      <c r="V74" s="226">
        <f>IF(C74="",NA(),IF(OR(C74="Smelter not listed",C74="Smelter not yet identified"),MATCH($B74&amp;$D74,'Smelter Look-up'!$J:$J,0),MATCH($B74&amp;$C74,'Smelter Look-up'!$J:$J,0)))</f>
        <v>326</v>
      </c>
      <c r="X74" s="227">
        <f t="shared" si="12"/>
        <v>0</v>
      </c>
      <c r="AB74" s="228" t="str">
        <f t="shared" si="13"/>
        <v>GoldZhongyuan Gold Smelter of Zhongjin Gold Corporation</v>
      </c>
    </row>
    <row r="75" spans="1:28" s="227" customFormat="1" ht="51">
      <c r="A75" s="181" t="s">
        <v>1740</v>
      </c>
      <c r="B75" s="182" t="s">
        <v>1099</v>
      </c>
      <c r="C75" s="186" t="s">
        <v>2104</v>
      </c>
      <c r="D75" s="230"/>
      <c r="E75" s="182" t="s">
        <v>2384</v>
      </c>
      <c r="F75" s="182" t="s">
        <v>1740</v>
      </c>
      <c r="G75" s="182" t="s">
        <v>13177</v>
      </c>
      <c r="H75" s="183">
        <v>0</v>
      </c>
      <c r="I75" s="184" t="s">
        <v>1741</v>
      </c>
      <c r="J75" s="184" t="s">
        <v>1601</v>
      </c>
      <c r="K75" s="224"/>
      <c r="L75" s="224"/>
      <c r="M75" s="224"/>
      <c r="N75" s="224"/>
      <c r="O75" s="224"/>
      <c r="P75" s="185"/>
      <c r="Q75" s="225"/>
      <c r="R75" s="182" t="str">
        <f ca="1">IF(ISERROR($V75),"",OFFSET('Smelter Look-up'!$C$4,$V75-4,0)&amp;"")</f>
        <v>Metallic Resources, Inc.</v>
      </c>
      <c r="S75" s="181" t="str">
        <f t="shared" ca="1" si="11"/>
        <v>US</v>
      </c>
      <c r="T75" s="181" t="str">
        <f ca="1">IF(B75="","",IF(ISERROR(MATCH($J75,SorP!$B$1:$B$6226,0)),"",INDIRECT("'SorP'!$A$"&amp;MATCH($S75&amp;$J75,SorP!C:C,0))))</f>
        <v>US-OH</v>
      </c>
      <c r="U75" s="201"/>
      <c r="V75" s="226">
        <f>IF(C75="",NA(),IF(OR(C75="Smelter not listed",C75="Smelter not yet identified"),MATCH($B75&amp;$D75,'Smelter Look-up'!$J:$J,0),MATCH($B75&amp;$C75,'Smelter Look-up'!$J:$J,0)))</f>
        <v>473</v>
      </c>
      <c r="X75" s="227">
        <f t="shared" si="12"/>
        <v>0</v>
      </c>
      <c r="AB75" s="228" t="str">
        <f t="shared" si="13"/>
        <v>TinMetallic Resources, Inc.</v>
      </c>
    </row>
    <row r="76" spans="1:28" s="227" customFormat="1" ht="51">
      <c r="A76" s="181" t="s">
        <v>753</v>
      </c>
      <c r="B76" s="182" t="s">
        <v>1099</v>
      </c>
      <c r="C76" s="186" t="s">
        <v>12377</v>
      </c>
      <c r="D76" s="230"/>
      <c r="E76" s="182" t="s">
        <v>1065</v>
      </c>
      <c r="F76" s="182" t="s">
        <v>753</v>
      </c>
      <c r="G76" s="182" t="s">
        <v>13177</v>
      </c>
      <c r="H76" s="183">
        <v>0</v>
      </c>
      <c r="I76" s="184" t="s">
        <v>15698</v>
      </c>
      <c r="J76" s="184" t="s">
        <v>1640</v>
      </c>
      <c r="K76" s="224"/>
      <c r="L76" s="224"/>
      <c r="M76" s="224"/>
      <c r="N76" s="224"/>
      <c r="O76" s="224"/>
      <c r="P76" s="185"/>
      <c r="Q76" s="225"/>
      <c r="R76" s="182" t="str">
        <f ca="1">IF(ISERROR($V76),"",OFFSET('Smelter Look-up'!$C$4,$V76-4,0)&amp;"")</f>
        <v>Mineracao Taboca S.A.</v>
      </c>
      <c r="S76" s="181" t="str">
        <f t="shared" ca="1" si="11"/>
        <v>BR</v>
      </c>
      <c r="T76" s="181" t="str">
        <f ca="1">IF(B76="","",IF(ISERROR(MATCH($J76,SorP!$B$1:$B$6226,0)),"",INDIRECT("'SorP'!$A$"&amp;MATCH($S76&amp;$J76,SorP!C:C,0))))</f>
        <v>BR-SP</v>
      </c>
      <c r="U76" s="201"/>
      <c r="V76" s="226">
        <f>IF(C76="",NA(),IF(OR(C76="Smelter not listed",C76="Smelter not yet identified"),MATCH($B76&amp;$D76,'Smelter Look-up'!$J:$J,0),MATCH($B76&amp;$C76,'Smelter Look-up'!$J:$J,0)))</f>
        <v>476</v>
      </c>
      <c r="X76" s="227">
        <f t="shared" si="12"/>
        <v>0</v>
      </c>
      <c r="AB76" s="228" t="str">
        <f t="shared" si="13"/>
        <v>TinMineracao Taboca S.A.</v>
      </c>
    </row>
    <row r="77" spans="1:28" s="227" customFormat="1" ht="76.5">
      <c r="A77" s="181" t="s">
        <v>755</v>
      </c>
      <c r="B77" s="182" t="s">
        <v>1099</v>
      </c>
      <c r="C77" s="186" t="s">
        <v>1131</v>
      </c>
      <c r="D77" s="230"/>
      <c r="E77" s="182" t="s">
        <v>1077</v>
      </c>
      <c r="F77" s="182" t="s">
        <v>755</v>
      </c>
      <c r="G77" s="182" t="s">
        <v>13177</v>
      </c>
      <c r="H77" s="183">
        <v>0</v>
      </c>
      <c r="I77" s="184" t="s">
        <v>15643</v>
      </c>
      <c r="J77" s="184" t="s">
        <v>6618</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JP-28</v>
      </c>
      <c r="U77" s="201"/>
      <c r="V77" s="226">
        <f>IF(C77="",NA(),IF(OR(C77="Smelter not listed",C77="Smelter not yet identified"),MATCH($B77&amp;$D77,'Smelter Look-up'!$J:$J,0),MATCH($B77&amp;$C77,'Smelter Look-up'!$J:$J,0)))</f>
        <v>482</v>
      </c>
      <c r="X77" s="227">
        <f t="shared" si="12"/>
        <v>0</v>
      </c>
      <c r="AB77" s="228" t="str">
        <f t="shared" si="13"/>
        <v>TinMitsubishi Materials Corporation</v>
      </c>
    </row>
    <row r="78" spans="1:28" s="227" customFormat="1" ht="89.25">
      <c r="A78" s="181" t="s">
        <v>764</v>
      </c>
      <c r="B78" s="182" t="s">
        <v>1099</v>
      </c>
      <c r="C78" s="186" t="s">
        <v>2484</v>
      </c>
      <c r="D78" s="230"/>
      <c r="E78" s="182" t="s">
        <v>1065</v>
      </c>
      <c r="F78" s="182" t="s">
        <v>764</v>
      </c>
      <c r="G78" s="182" t="s">
        <v>13177</v>
      </c>
      <c r="H78" s="183">
        <v>0</v>
      </c>
      <c r="I78" s="184" t="s">
        <v>1725</v>
      </c>
      <c r="J78" s="184" t="s">
        <v>1729</v>
      </c>
      <c r="K78" s="224"/>
      <c r="L78" s="224"/>
      <c r="M78" s="224"/>
      <c r="N78" s="224"/>
      <c r="O78" s="224"/>
      <c r="P78" s="185"/>
      <c r="Q78" s="225"/>
      <c r="R78" s="182" t="str">
        <f ca="1">IF(ISERROR($V78),"",OFFSET('Smelter Look-up'!$C$4,$V78-4,0)&amp;"")</f>
        <v>White Solder Metalurgia e Mineracao Ltda.</v>
      </c>
      <c r="S78" s="181" t="str">
        <f t="shared" ca="1" si="11"/>
        <v>BR</v>
      </c>
      <c r="T78" s="181" t="str">
        <f ca="1">IF(B78="","",IF(ISERROR(MATCH($J78,SorP!$B$1:$B$6226,0)),"",INDIRECT("'SorP'!$A$"&amp;MATCH($S78&amp;$J78,SorP!C:C,0))))</f>
        <v>BR-RO</v>
      </c>
      <c r="U78" s="201"/>
      <c r="V78" s="226">
        <f>IF(C78="",NA(),IF(OR(C78="Smelter not listed",C78="Smelter not yet identified"),MATCH($B78&amp;$D78,'Smelter Look-up'!$J:$J,0),MATCH($B78&amp;$C78,'Smelter Look-up'!$J:$J,0)))</f>
        <v>530</v>
      </c>
      <c r="X78" s="227">
        <f t="shared" si="12"/>
        <v>0</v>
      </c>
      <c r="AB78" s="228" t="str">
        <f t="shared" si="13"/>
        <v>TinWhite Solder Metalurgia e Mineracao Ltda.</v>
      </c>
    </row>
    <row r="79" spans="1:28" s="227" customFormat="1" ht="102">
      <c r="A79" s="181" t="s">
        <v>2481</v>
      </c>
      <c r="B79" s="182" t="s">
        <v>1099</v>
      </c>
      <c r="C79" s="186" t="s">
        <v>2480</v>
      </c>
      <c r="D79" s="230"/>
      <c r="E79" s="182" t="s">
        <v>1069</v>
      </c>
      <c r="F79" s="182" t="s">
        <v>2481</v>
      </c>
      <c r="G79" s="182" t="s">
        <v>13177</v>
      </c>
      <c r="H79" s="183">
        <v>0</v>
      </c>
      <c r="I79" s="184" t="s">
        <v>1781</v>
      </c>
      <c r="J79" s="184" t="s">
        <v>13536</v>
      </c>
      <c r="K79" s="224"/>
      <c r="L79" s="224"/>
      <c r="M79" s="224"/>
      <c r="N79" s="224"/>
      <c r="O79" s="224"/>
      <c r="P79" s="185"/>
      <c r="Q79" s="225"/>
      <c r="R79" s="182" t="str">
        <f ca="1">IF(ISERROR($V79),"",OFFSET('Smelter Look-up'!$C$4,$V79-4,0)&amp;"")</f>
        <v>Guangdong Hanhe Non-Ferrous Metal Co., Ltd.</v>
      </c>
      <c r="S79" s="181" t="str">
        <f t="shared" ca="1" si="11"/>
        <v>CN</v>
      </c>
      <c r="T79" s="181" t="str">
        <f ca="1">IF(B79="","",IF(ISERROR(MATCH($J79,SorP!$B$1:$B$6226,0)),"",INDIRECT("'SorP'!$A$"&amp;MATCH($S79&amp;$J79,SorP!C:C,0))))</f>
        <v>CN-GD</v>
      </c>
      <c r="U79" s="201"/>
      <c r="V79" s="226">
        <f>IF(C79="",NA(),IF(OR(C79="Smelter not listed",C79="Smelter not yet identified"),MATCH($B79&amp;$D79,'Smelter Look-up'!$J:$J,0),MATCH($B79&amp;$C79,'Smelter Look-up'!$J:$J,0)))</f>
        <v>450</v>
      </c>
      <c r="X79" s="227">
        <f t="shared" si="12"/>
        <v>0</v>
      </c>
      <c r="AB79" s="228" t="str">
        <f t="shared" si="13"/>
        <v>TinGuangdong Hanhe Non-Ferrous Metal Co., Ltd.</v>
      </c>
    </row>
    <row r="80" spans="1:28" s="227" customFormat="1" ht="51">
      <c r="A80" s="181" t="s">
        <v>13122</v>
      </c>
      <c r="B80" s="182" t="s">
        <v>1099</v>
      </c>
      <c r="C80" s="186" t="s">
        <v>13121</v>
      </c>
      <c r="D80" s="230"/>
      <c r="E80" s="182" t="s">
        <v>2384</v>
      </c>
      <c r="F80" s="182" t="s">
        <v>13122</v>
      </c>
      <c r="G80" s="182" t="s">
        <v>13177</v>
      </c>
      <c r="H80" s="183">
        <v>0</v>
      </c>
      <c r="I80" s="184" t="s">
        <v>13123</v>
      </c>
      <c r="J80" s="184" t="s">
        <v>1699</v>
      </c>
      <c r="K80" s="224"/>
      <c r="L80" s="224"/>
      <c r="M80" s="224"/>
      <c r="N80" s="224"/>
      <c r="O80" s="224"/>
      <c r="P80" s="185"/>
      <c r="Q80" s="225"/>
      <c r="R80" s="182" t="str">
        <f ca="1">IF(ISERROR($V80),"",OFFSET('Smelter Look-up'!$C$4,$V80-4,0)&amp;"")</f>
        <v>Tin Technology &amp; Refining</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525</v>
      </c>
      <c r="X80" s="227">
        <f t="shared" si="12"/>
        <v>0</v>
      </c>
      <c r="AB80" s="228" t="str">
        <f t="shared" si="13"/>
        <v>TinTin Technology &amp; Refining</v>
      </c>
    </row>
    <row r="81" spans="1:28" s="227" customFormat="1" ht="63.75">
      <c r="A81" s="181" t="s">
        <v>676</v>
      </c>
      <c r="B81" s="182" t="s">
        <v>1098</v>
      </c>
      <c r="C81" s="186" t="s">
        <v>675</v>
      </c>
      <c r="D81" s="230"/>
      <c r="E81" s="182" t="s">
        <v>2384</v>
      </c>
      <c r="F81" s="182" t="s">
        <v>676</v>
      </c>
      <c r="G81" s="182" t="s">
        <v>13177</v>
      </c>
      <c r="H81" s="183">
        <v>0</v>
      </c>
      <c r="I81" s="184" t="s">
        <v>1573</v>
      </c>
      <c r="J81" s="184" t="s">
        <v>1566</v>
      </c>
      <c r="K81" s="224"/>
      <c r="L81" s="224"/>
      <c r="M81" s="224"/>
      <c r="N81" s="224"/>
      <c r="O81" s="224"/>
      <c r="P81" s="185"/>
      <c r="Q81" s="225"/>
      <c r="R81" s="182" t="str">
        <f ca="1">IF(ISERROR($V81),"",OFFSET('Smelter Look-up'!$C$4,$V81-4,0)&amp;"")</f>
        <v>Kennecott Utah Copper LLC</v>
      </c>
      <c r="S81" s="181" t="str">
        <f t="shared" ca="1" si="11"/>
        <v>US</v>
      </c>
      <c r="T81" s="181" t="str">
        <f ca="1">IF(B81="","",IF(ISERROR(MATCH($J81,SorP!$B$1:$B$6226,0)),"",INDIRECT("'SorP'!$A$"&amp;MATCH($S81&amp;$J81,SorP!C:C,0))))</f>
        <v>US-UT</v>
      </c>
      <c r="U81" s="201"/>
      <c r="V81" s="226">
        <f>IF(C81="",NA(),IF(OR(C81="Smelter not listed",C81="Smelter not yet identified"),MATCH($B81&amp;$D81,'Smelter Look-up'!$J:$J,0),MATCH($B81&amp;$C81,'Smelter Look-up'!$J:$J,0)))</f>
        <v>142</v>
      </c>
      <c r="X81" s="227">
        <f t="shared" si="12"/>
        <v>0</v>
      </c>
      <c r="AB81" s="228" t="str">
        <f t="shared" si="13"/>
        <v>GoldKennecott Utah Copper LLC</v>
      </c>
    </row>
    <row r="82" spans="1:28" s="227" customFormat="1" ht="38.25">
      <c r="A82" s="181" t="s">
        <v>13774</v>
      </c>
      <c r="B82" s="182" t="s">
        <v>1099</v>
      </c>
      <c r="C82" s="186" t="s">
        <v>13760</v>
      </c>
      <c r="D82" s="230"/>
      <c r="E82" s="182" t="s">
        <v>13050</v>
      </c>
      <c r="F82" s="182" t="s">
        <v>13774</v>
      </c>
      <c r="G82" s="182" t="s">
        <v>13177</v>
      </c>
      <c r="H82" s="183">
        <v>0</v>
      </c>
      <c r="I82" s="184" t="s">
        <v>13785</v>
      </c>
      <c r="J82" s="184" t="s">
        <v>10012</v>
      </c>
      <c r="K82" s="224"/>
      <c r="L82" s="224"/>
      <c r="M82" s="224"/>
      <c r="N82" s="224"/>
      <c r="O82" s="224"/>
      <c r="P82" s="185"/>
      <c r="Q82" s="225"/>
      <c r="R82" s="182" t="str">
        <f ca="1">IF(ISERROR($V82),"",OFFSET('Smelter Look-up'!$C$4,$V82-4,0)&amp;"")</f>
        <v>Luna Smelter, Ltd.</v>
      </c>
      <c r="S82" s="181" t="str">
        <f t="shared" ca="1" si="11"/>
        <v>RW</v>
      </c>
      <c r="T82" s="181" t="str">
        <f ca="1">IF(B82="","",IF(ISERROR(MATCH($J82,SorP!$B$1:$B$6226,0)),"",INDIRECT("'SorP'!$A$"&amp;MATCH($S82&amp;$J82,SorP!C:C,0))))</f>
        <v>RW-01</v>
      </c>
      <c r="U82" s="201"/>
      <c r="V82" s="226">
        <f>IF(C82="",NA(),IF(OR(C82="Smelter not listed",C82="Smelter not yet identified"),MATCH($B82&amp;$D82,'Smelter Look-up'!$J:$J,0),MATCH($B82&amp;$C82,'Smelter Look-up'!$J:$J,0)))</f>
        <v>465</v>
      </c>
      <c r="X82" s="227">
        <f t="shared" si="12"/>
        <v>0</v>
      </c>
      <c r="AB82" s="228" t="str">
        <f t="shared" si="13"/>
        <v>TinLuna Smelter, Ltd.</v>
      </c>
    </row>
    <row r="83" spans="1:28" s="227" customFormat="1" ht="20.25">
      <c r="A83" s="181" t="s">
        <v>1374</v>
      </c>
      <c r="B83" s="182" t="s">
        <v>1099</v>
      </c>
      <c r="C83" s="186" t="s">
        <v>877</v>
      </c>
      <c r="D83" s="230"/>
      <c r="E83" s="182" t="s">
        <v>1077</v>
      </c>
      <c r="F83" s="182" t="s">
        <v>1374</v>
      </c>
      <c r="G83" s="182" t="s">
        <v>13177</v>
      </c>
      <c r="H83" s="183">
        <v>0</v>
      </c>
      <c r="I83" s="184" t="s">
        <v>1541</v>
      </c>
      <c r="J83" s="184" t="s">
        <v>1542</v>
      </c>
      <c r="K83" s="224"/>
      <c r="L83" s="224"/>
      <c r="M83" s="224"/>
      <c r="N83" s="224"/>
      <c r="O83" s="224"/>
      <c r="P83" s="185"/>
      <c r="Q83" s="225"/>
      <c r="R83" s="182" t="str">
        <f ca="1">IF(ISERROR($V83),"",OFFSET('Smelter Look-up'!$C$4,$V83-4,0)&amp;"")</f>
        <v>Dowa</v>
      </c>
      <c r="S83" s="181" t="str">
        <f t="shared" ca="1" si="11"/>
        <v>JP</v>
      </c>
      <c r="T83" s="181" t="str">
        <f ca="1">IF(B83="","",IF(ISERROR(MATCH($J83,SorP!$B$1:$B$6226,0)),"",INDIRECT("'SorP'!$A$"&amp;MATCH($S83&amp;$J83,SorP!C:C,0))))</f>
        <v>JP-05</v>
      </c>
      <c r="U83" s="201"/>
      <c r="V83" s="226">
        <f>IF(C83="",NA(),IF(OR(C83="Smelter not listed",C83="Smelter not yet identified"),MATCH($B83&amp;$D83,'Smelter Look-up'!$J:$J,0),MATCH($B83&amp;$C83,'Smelter Look-up'!$J:$J,0)))</f>
        <v>425</v>
      </c>
      <c r="X83" s="227">
        <f t="shared" si="12"/>
        <v>0</v>
      </c>
      <c r="AB83" s="228" t="str">
        <f t="shared" si="13"/>
        <v>TinDowa</v>
      </c>
    </row>
    <row r="84" spans="1:28" s="227" customFormat="1" ht="114.75">
      <c r="A84" s="181" t="s">
        <v>647</v>
      </c>
      <c r="B84" s="182" t="s">
        <v>1098</v>
      </c>
      <c r="C84" s="186" t="s">
        <v>2192</v>
      </c>
      <c r="D84" s="230"/>
      <c r="E84" s="182" t="s">
        <v>1066</v>
      </c>
      <c r="F84" s="182" t="s">
        <v>647</v>
      </c>
      <c r="G84" s="182" t="s">
        <v>13177</v>
      </c>
      <c r="H84" s="183">
        <v>0</v>
      </c>
      <c r="I84" s="184" t="s">
        <v>1528</v>
      </c>
      <c r="J84" s="184" t="s">
        <v>1529</v>
      </c>
      <c r="K84" s="224"/>
      <c r="L84" s="224"/>
      <c r="M84" s="224"/>
      <c r="N84" s="224"/>
      <c r="O84" s="224"/>
      <c r="P84" s="185"/>
      <c r="Q84" s="225"/>
      <c r="R84" s="182" t="str">
        <f ca="1">IF(ISERROR($V84),"",OFFSET('Smelter Look-up'!$C$4,$V84-4,0)&amp;"")</f>
        <v>CCR Refinery - Glencore Canada Corporation</v>
      </c>
      <c r="S84" s="181" t="str">
        <f t="shared" ca="1" si="11"/>
        <v>CA</v>
      </c>
      <c r="T84" s="181" t="str">
        <f ca="1">IF(B84="","",IF(ISERROR(MATCH($J84,SorP!$B$1:$B$6226,0)),"",INDIRECT("'SorP'!$A$"&amp;MATCH($S84&amp;$J84,SorP!C:C,0))))</f>
        <v>CA-QC</v>
      </c>
      <c r="U84" s="201"/>
      <c r="V84" s="226">
        <f>IF(C84="",NA(),IF(OR(C84="Smelter not listed",C84="Smelter not yet identified"),MATCH($B84&amp;$D84,'Smelter Look-up'!$J:$J,0),MATCH($B84&amp;$C84,'Smelter Look-up'!$J:$J,0)))</f>
        <v>48</v>
      </c>
      <c r="X84" s="227">
        <f t="shared" si="12"/>
        <v>0</v>
      </c>
      <c r="AB84" s="228" t="str">
        <f t="shared" si="13"/>
        <v>GoldCCR Refinery - Glencore Canada Corporation</v>
      </c>
    </row>
    <row r="85" spans="1:28" s="227" customFormat="1" ht="89.25">
      <c r="A85" s="181" t="s">
        <v>752</v>
      </c>
      <c r="B85" s="182" t="s">
        <v>1099</v>
      </c>
      <c r="C85" s="186" t="s">
        <v>793</v>
      </c>
      <c r="D85" s="230"/>
      <c r="E85" s="182" t="s">
        <v>1084</v>
      </c>
      <c r="F85" s="182" t="s">
        <v>752</v>
      </c>
      <c r="G85" s="182" t="s">
        <v>13177</v>
      </c>
      <c r="H85" s="183">
        <v>0</v>
      </c>
      <c r="I85" s="184" t="s">
        <v>1739</v>
      </c>
      <c r="J85" s="184" t="s">
        <v>8635</v>
      </c>
      <c r="K85" s="224"/>
      <c r="L85" s="224"/>
      <c r="M85" s="224"/>
      <c r="N85" s="224"/>
      <c r="O85" s="224"/>
      <c r="P85" s="185"/>
      <c r="Q85" s="225"/>
      <c r="R85" s="182" t="str">
        <f ca="1">IF(ISERROR($V85),"",OFFSET('Smelter Look-up'!$C$4,$V85-4,0)&amp;"")</f>
        <v>Malaysia Smelting Corporation (MSC)</v>
      </c>
      <c r="S85" s="181" t="str">
        <f t="shared" ca="1" si="11"/>
        <v>MY</v>
      </c>
      <c r="T85" s="181" t="str">
        <f ca="1">IF(B85="","",IF(ISERROR(MATCH($J85,SorP!$B$1:$B$6226,0)),"",INDIRECT("'SorP'!$A$"&amp;MATCH($S85&amp;$J85,SorP!C:C,0))))</f>
        <v>MY-07</v>
      </c>
      <c r="U85" s="201"/>
      <c r="V85" s="226">
        <f>IF(C85="",NA(),IF(OR(C85="Smelter not listed",C85="Smelter not yet identified"),MATCH($B85&amp;$D85,'Smelter Look-up'!$J:$J,0),MATCH($B85&amp;$C85,'Smelter Look-up'!$J:$J,0)))</f>
        <v>468</v>
      </c>
      <c r="X85" s="227">
        <f t="shared" si="12"/>
        <v>0</v>
      </c>
      <c r="AB85" s="228" t="str">
        <f t="shared" si="13"/>
        <v>TinMalaysia Smelting Corporation (MSC)</v>
      </c>
    </row>
    <row r="86" spans="1:28" s="227" customFormat="1" ht="63.75">
      <c r="A86" s="181" t="s">
        <v>668</v>
      </c>
      <c r="B86" s="182" t="s">
        <v>1098</v>
      </c>
      <c r="C86" s="186" t="s">
        <v>2251</v>
      </c>
      <c r="D86" s="230"/>
      <c r="E86" s="182" t="s">
        <v>1069</v>
      </c>
      <c r="F86" s="182" t="s">
        <v>668</v>
      </c>
      <c r="G86" s="182" t="s">
        <v>13177</v>
      </c>
      <c r="H86" s="183">
        <v>0</v>
      </c>
      <c r="I86" s="184" t="s">
        <v>1563</v>
      </c>
      <c r="J86" s="184" t="s">
        <v>13531</v>
      </c>
      <c r="K86" s="224"/>
      <c r="L86" s="224"/>
      <c r="M86" s="224"/>
      <c r="N86" s="224"/>
      <c r="O86" s="224"/>
      <c r="P86" s="185"/>
      <c r="Q86" s="225"/>
      <c r="R86" s="182" t="str">
        <f ca="1">IF(ISERROR($V86),"",OFFSET('Smelter Look-up'!$C$4,$V86-4,0)&amp;"")</f>
        <v>Jiangxi Copper Co., Ltd.</v>
      </c>
      <c r="S86" s="181" t="str">
        <f t="shared" ca="1" si="11"/>
        <v>CN</v>
      </c>
      <c r="T86" s="181" t="str">
        <f ca="1">IF(B86="","",IF(ISERROR(MATCH($J86,SorP!$B$1:$B$6226,0)),"",INDIRECT("'SorP'!$A$"&amp;MATCH($S86&amp;$J86,SorP!C:C,0))))</f>
        <v>CN-JX</v>
      </c>
      <c r="U86" s="201"/>
      <c r="V86" s="226">
        <f>IF(C86="",NA(),IF(OR(C86="Smelter not listed",C86="Smelter not yet identified"),MATCH($B86&amp;$D86,'Smelter Look-up'!$J:$J,0),MATCH($B86&amp;$C86,'Smelter Look-up'!$J:$J,0)))</f>
        <v>129</v>
      </c>
      <c r="X86" s="227">
        <f t="shared" si="12"/>
        <v>0</v>
      </c>
      <c r="AB86" s="228" t="str">
        <f t="shared" si="13"/>
        <v>GoldJiangxi Copper Co., Ltd.</v>
      </c>
    </row>
    <row r="87" spans="1:28" s="227" customFormat="1" ht="76.5">
      <c r="A87" s="181" t="s">
        <v>773</v>
      </c>
      <c r="B87" s="182" t="s">
        <v>1101</v>
      </c>
      <c r="C87" s="186" t="s">
        <v>1347</v>
      </c>
      <c r="D87" s="230"/>
      <c r="E87" s="182" t="s">
        <v>1077</v>
      </c>
      <c r="F87" s="182" t="s">
        <v>773</v>
      </c>
      <c r="G87" s="182" t="s">
        <v>13177</v>
      </c>
      <c r="H87" s="183">
        <v>0</v>
      </c>
      <c r="I87" s="184" t="s">
        <v>2090</v>
      </c>
      <c r="J87" s="184" t="s">
        <v>1542</v>
      </c>
      <c r="K87" s="224"/>
      <c r="L87" s="224"/>
      <c r="M87" s="224"/>
      <c r="N87" s="224"/>
      <c r="O87" s="224"/>
      <c r="P87" s="185"/>
      <c r="Q87" s="225"/>
      <c r="R87" s="182" t="str">
        <f ca="1">IF(ISERROR($V87),"",OFFSET('Smelter Look-up'!$C$4,$V87-4,0)&amp;"")</f>
        <v>Japan New Metals Co., Ltd.</v>
      </c>
      <c r="S87" s="181" t="str">
        <f t="shared" ca="1" si="11"/>
        <v>JP</v>
      </c>
      <c r="T87" s="181" t="str">
        <f ca="1">IF(B87="","",IF(ISERROR(MATCH($J87,SorP!$B$1:$B$6226,0)),"",INDIRECT("'SorP'!$A$"&amp;MATCH($S87&amp;$J87,SorP!C:C,0))))</f>
        <v>JP-05</v>
      </c>
      <c r="U87" s="201"/>
      <c r="V87" s="226">
        <f>IF(C87="",NA(),IF(OR(C87="Smelter not listed",C87="Smelter not yet identified"),MATCH($B87&amp;$D87,'Smelter Look-up'!$J:$J,0),MATCH($B87&amp;$C87,'Smelter Look-up'!$J:$J,0)))</f>
        <v>591</v>
      </c>
      <c r="X87" s="227">
        <f t="shared" si="12"/>
        <v>0</v>
      </c>
      <c r="AB87" s="228" t="str">
        <f t="shared" si="13"/>
        <v>TungstenJapan New Metals Co., Ltd.</v>
      </c>
    </row>
    <row r="88" spans="1:28" s="227" customFormat="1" ht="63.75">
      <c r="A88" s="181" t="s">
        <v>1796</v>
      </c>
      <c r="B88" s="182" t="s">
        <v>1101</v>
      </c>
      <c r="C88" s="186" t="s">
        <v>1795</v>
      </c>
      <c r="D88" s="230"/>
      <c r="E88" s="182" t="s">
        <v>2384</v>
      </c>
      <c r="F88" s="182" t="s">
        <v>1796</v>
      </c>
      <c r="G88" s="182" t="s">
        <v>13177</v>
      </c>
      <c r="H88" s="183">
        <v>0</v>
      </c>
      <c r="I88" s="184" t="s">
        <v>1797</v>
      </c>
      <c r="J88" s="184" t="s">
        <v>1583</v>
      </c>
      <c r="K88" s="224"/>
      <c r="L88" s="224"/>
      <c r="M88" s="224"/>
      <c r="N88" s="224"/>
      <c r="O88" s="224"/>
      <c r="P88" s="185"/>
      <c r="Q88" s="225"/>
      <c r="R88" s="182" t="str">
        <f ca="1">IF(ISERROR($V88),"",OFFSET('Smelter Look-up'!$C$4,$V88-4,0)&amp;"")</f>
        <v>Niagara Refining LLC</v>
      </c>
      <c r="S88" s="181" t="str">
        <f t="shared" ca="1" si="11"/>
        <v>US</v>
      </c>
      <c r="T88" s="181" t="str">
        <f ca="1">IF(B88="","",IF(ISERROR(MATCH($J88,SorP!$B$1:$B$6226,0)),"",INDIRECT("'SorP'!$A$"&amp;MATCH($S88&amp;$J88,SorP!C:C,0))))</f>
        <v>US-NY</v>
      </c>
      <c r="U88" s="201"/>
      <c r="V88" s="226">
        <f>IF(C88="",NA(),IF(OR(C88="Smelter not listed",C88="Smelter not yet identified"),MATCH($B88&amp;$D88,'Smelter Look-up'!$J:$J,0),MATCH($B88&amp;$C88,'Smelter Look-up'!$J:$J,0)))</f>
        <v>616</v>
      </c>
      <c r="X88" s="227">
        <f t="shared" si="12"/>
        <v>0</v>
      </c>
      <c r="AB88" s="228" t="str">
        <f t="shared" si="13"/>
        <v>TungstenNiagara Refining LLC</v>
      </c>
    </row>
    <row r="89" spans="1:28" s="227" customFormat="1" ht="38.25">
      <c r="A89" s="181" t="s">
        <v>767</v>
      </c>
      <c r="B89" s="182" t="s">
        <v>1101</v>
      </c>
      <c r="C89" s="186" t="s">
        <v>13721</v>
      </c>
      <c r="D89" s="230"/>
      <c r="E89" s="182" t="s">
        <v>1077</v>
      </c>
      <c r="F89" s="182" t="s">
        <v>767</v>
      </c>
      <c r="G89" s="182" t="s">
        <v>13177</v>
      </c>
      <c r="H89" s="183">
        <v>0</v>
      </c>
      <c r="I89" s="184" t="s">
        <v>2087</v>
      </c>
      <c r="J89" s="184" t="s">
        <v>2088</v>
      </c>
      <c r="K89" s="224"/>
      <c r="L89" s="224"/>
      <c r="M89" s="224"/>
      <c r="N89" s="224"/>
      <c r="O89" s="224"/>
      <c r="P89" s="185"/>
      <c r="Q89" s="225"/>
      <c r="R89" s="182" t="str">
        <f ca="1">IF(ISERROR($V89),"",OFFSET('Smelter Look-up'!$C$4,$V89-4,0)&amp;"")</f>
        <v>A.L.M.T. Corp.</v>
      </c>
      <c r="S89" s="181" t="str">
        <f t="shared" ca="1" si="11"/>
        <v>JP</v>
      </c>
      <c r="T89" s="181" t="str">
        <f ca="1">IF(B89="","",IF(ISERROR(MATCH($J89,SorP!$B$1:$B$6226,0)),"",INDIRECT("'SorP'!$A$"&amp;MATCH($S89&amp;$J89,SorP!C:C,0))))</f>
        <v>JP-16</v>
      </c>
      <c r="U89" s="201"/>
      <c r="V89" s="226">
        <f>IF(C89="",NA(),IF(OR(C89="Smelter not listed",C89="Smelter not yet identified"),MATCH($B89&amp;$D89,'Smelter Look-up'!$J:$J,0),MATCH($B89&amp;$C89,'Smelter Look-up'!$J:$J,0)))</f>
        <v>553</v>
      </c>
      <c r="X89" s="227">
        <f t="shared" si="12"/>
        <v>0</v>
      </c>
      <c r="AB89" s="228" t="str">
        <f t="shared" si="13"/>
        <v>TungstenA.L.M.T. Corp.</v>
      </c>
    </row>
    <row r="90" spans="1:28" s="227" customFormat="1" ht="89.25">
      <c r="A90" s="181" t="s">
        <v>133</v>
      </c>
      <c r="B90" s="182" t="s">
        <v>1101</v>
      </c>
      <c r="C90" s="186" t="s">
        <v>143</v>
      </c>
      <c r="D90" s="230"/>
      <c r="E90" s="182" t="s">
        <v>1069</v>
      </c>
      <c r="F90" s="182" t="s">
        <v>133</v>
      </c>
      <c r="G90" s="182" t="s">
        <v>13177</v>
      </c>
      <c r="H90" s="183">
        <v>0</v>
      </c>
      <c r="I90" s="184" t="s">
        <v>1732</v>
      </c>
      <c r="J90" s="184" t="s">
        <v>13531</v>
      </c>
      <c r="K90" s="224"/>
      <c r="L90" s="224"/>
      <c r="M90" s="224"/>
      <c r="N90" s="224"/>
      <c r="O90" s="224"/>
      <c r="P90" s="185"/>
      <c r="Q90" s="225"/>
      <c r="R90" s="182" t="str">
        <f ca="1">IF(ISERROR($V90),"",OFFSET('Smelter Look-up'!$C$4,$V90-4,0)&amp;"")</f>
        <v>Jiangxi Yaosheng Tungsten Co., Ltd.</v>
      </c>
      <c r="S90" s="181" t="str">
        <f t="shared" ca="1" si="11"/>
        <v>CN</v>
      </c>
      <c r="T90" s="181" t="str">
        <f ca="1">IF(B90="","",IF(ISERROR(MATCH($J90,SorP!$B$1:$B$6226,0)),"",INDIRECT("'SorP'!$A$"&amp;MATCH($S90&amp;$J90,SorP!C:C,0))))</f>
        <v>CN-JX</v>
      </c>
      <c r="U90" s="201"/>
      <c r="V90" s="226">
        <f>IF(C90="",NA(),IF(OR(C90="Smelter not listed",C90="Smelter not yet identified"),MATCH($B90&amp;$D90,'Smelter Look-up'!$J:$J,0),MATCH($B90&amp;$C90,'Smelter Look-up'!$J:$J,0)))</f>
        <v>597</v>
      </c>
      <c r="X90" s="227">
        <f t="shared" si="12"/>
        <v>0</v>
      </c>
      <c r="AB90" s="228" t="str">
        <f t="shared" si="13"/>
        <v>TungstenJiangxi Yaosheng Tungsten Co., Ltd.</v>
      </c>
    </row>
    <row r="91" spans="1:28" s="227" customFormat="1" ht="63.75">
      <c r="A91" s="181" t="s">
        <v>1390</v>
      </c>
      <c r="B91" s="182" t="s">
        <v>1101</v>
      </c>
      <c r="C91" s="186" t="s">
        <v>2487</v>
      </c>
      <c r="D91" s="230"/>
      <c r="E91" s="182" t="s">
        <v>1070</v>
      </c>
      <c r="F91" s="182" t="s">
        <v>1390</v>
      </c>
      <c r="G91" s="182" t="s">
        <v>13177</v>
      </c>
      <c r="H91" s="183">
        <v>0</v>
      </c>
      <c r="I91" s="184" t="s">
        <v>1709</v>
      </c>
      <c r="J91" s="184" t="s">
        <v>4197</v>
      </c>
      <c r="K91" s="224"/>
      <c r="L91" s="224"/>
      <c r="M91" s="224"/>
      <c r="N91" s="224"/>
      <c r="O91" s="224"/>
      <c r="P91" s="185"/>
      <c r="Q91" s="225"/>
      <c r="R91" s="182" t="str">
        <f ca="1">IF(ISERROR($V91),"",OFFSET('Smelter Look-up'!$C$4,$V91-4,0)&amp;"")</f>
        <v>H.C. Starck Tungsten GmbH</v>
      </c>
      <c r="S91" s="181" t="str">
        <f t="shared" ca="1" si="11"/>
        <v>DE</v>
      </c>
      <c r="T91" s="181" t="str">
        <f ca="1">IF(B91="","",IF(ISERROR(MATCH($J91,SorP!$B$1:$B$6226,0)),"",INDIRECT("'SorP'!$A$"&amp;MATCH($S91&amp;$J91,SorP!C:C,0))))</f>
        <v>DE-NI</v>
      </c>
      <c r="U91" s="201"/>
      <c r="V91" s="226">
        <f>IF(C91="",NA(),IF(OR(C91="Smelter not listed",C91="Smelter not yet identified"),MATCH($B91&amp;$D91,'Smelter Look-up'!$J:$J,0),MATCH($B91&amp;$C91,'Smelter Look-up'!$J:$J,0)))</f>
        <v>582</v>
      </c>
      <c r="X91" s="227">
        <f t="shared" si="12"/>
        <v>0</v>
      </c>
      <c r="AB91" s="228" t="str">
        <f t="shared" si="13"/>
        <v>TungstenH.C. Starck Tungsten GmbH</v>
      </c>
    </row>
    <row r="92" spans="1:28" s="227" customFormat="1" ht="76.5">
      <c r="A92" s="181" t="s">
        <v>1394</v>
      </c>
      <c r="B92" s="182" t="s">
        <v>1101</v>
      </c>
      <c r="C92" s="186" t="s">
        <v>14973</v>
      </c>
      <c r="D92" s="230"/>
      <c r="E92" s="182" t="s">
        <v>863</v>
      </c>
      <c r="F92" s="182" t="s">
        <v>1394</v>
      </c>
      <c r="G92" s="182" t="s">
        <v>13177</v>
      </c>
      <c r="H92" s="183">
        <v>0</v>
      </c>
      <c r="I92" s="184" t="s">
        <v>1794</v>
      </c>
      <c r="J92" s="184" t="s">
        <v>12081</v>
      </c>
      <c r="K92" s="224"/>
      <c r="L92" s="224"/>
      <c r="M92" s="224"/>
      <c r="N92" s="224"/>
      <c r="O92" s="224"/>
      <c r="P92" s="185"/>
      <c r="Q92" s="225"/>
      <c r="R92" s="182" t="str">
        <f ca="1">IF(ISERROR($V92),"",OFFSET('Smelter Look-up'!$C$4,$V92-4,0)&amp;"")</f>
        <v>Masan High-Tech Materials</v>
      </c>
      <c r="S92" s="181" t="str">
        <f t="shared" ca="1" si="11"/>
        <v>VN</v>
      </c>
      <c r="T92" s="181" t="str">
        <f ca="1">IF(B92="","",IF(ISERROR(MATCH($J92,SorP!$B$1:$B$6226,0)),"",INDIRECT("'SorP'!$A$"&amp;MATCH($S92&amp;$J92,SorP!C:C,0))))</f>
        <v>VN-69</v>
      </c>
      <c r="U92" s="201"/>
      <c r="V92" s="226">
        <f>IF(C92="",NA(),IF(OR(C92="Smelter not listed",C92="Smelter not yet identified"),MATCH($B92&amp;$D92,'Smelter Look-up'!$J:$J,0),MATCH($B92&amp;$C92,'Smelter Look-up'!$J:$J,0)))</f>
        <v>611</v>
      </c>
      <c r="X92" s="227">
        <f t="shared" si="12"/>
        <v>0</v>
      </c>
      <c r="AB92" s="228" t="str">
        <f t="shared" si="13"/>
        <v>TungstenMasan High-Tech Materials</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7B5681-3DE4-4856-9EFE-2C1635C1EED9}"/>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Isocom Components2004 Ltd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Nathan McDonough</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Compliance@Isocom.co.uk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(0)1429 863609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Nathan McDonough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Compliance@Isocom.co.uk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https://isocom.com/compliance/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00963D27849B40B16E63CF75301D2B" ma:contentTypeVersion="3" ma:contentTypeDescription="Create a new document." ma:contentTypeScope="" ma:versionID="e7f648de9ad6c32f425bca0725239a4f">
  <xsd:schema xmlns:xsd="http://www.w3.org/2001/XMLSchema" xmlns:xs="http://www.w3.org/2001/XMLSchema" xmlns:p="http://schemas.microsoft.com/office/2006/metadata/properties" xmlns:ns2="eeb4336d-5e0c-4160-9e75-0099be744e85" targetNamespace="http://schemas.microsoft.com/office/2006/metadata/properties" ma:root="true" ma:fieldsID="59ae49e7918a6680cba32cba521370ca" ns2:_="">
    <xsd:import namespace="eeb4336d-5e0c-4160-9e75-0099be744e85"/>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b4336d-5e0c-4160-9e75-0099be744e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purl.org/dc/dcmitype/"/>
    <ds:schemaRef ds:uri="eeb4336d-5e0c-4160-9e75-0099be744e85"/>
    <ds:schemaRef ds:uri="http://schemas.microsoft.com/office/2006/documentManagement/types"/>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71EBBB7-2704-4025-B9E2-6FE3AF4EFC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b4336d-5e0c-4160-9e75-0099be744e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Alisha Jones</cp:lastModifiedBy>
  <cp:lastPrinted>2015-04-21T20:47:43Z</cp:lastPrinted>
  <dcterms:created xsi:type="dcterms:W3CDTF">2010-06-21T21:00:23Z</dcterms:created>
  <dcterms:modified xsi:type="dcterms:W3CDTF">2025-07-29T07:19:14Z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0x010100EC00963D27849B40B16E63CF75301D2B</vt:lpwstr>
  </property>
  <property fmtid="{D5CDD505-2E9C-101B-9397-08002B2CF9AE}" pid="4" name="Order">
    <vt:r8>100</vt:r8>
  </property>
</Properties>
</file>